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N-E-D\Netzmanagement Gas\Bilanzkreismanagement\Allokation\"/>
    </mc:Choice>
  </mc:AlternateContent>
  <xr:revisionPtr revIDLastSave="0" documentId="14_{E12C7BD2-F38E-4F95-8228-1BCA3DE91E22}" xr6:coauthVersionLast="45" xr6:coauthVersionMax="45" xr10:uidLastSave="{00000000-0000-0000-0000-000000000000}"/>
  <bookViews>
    <workbookView xWindow="-120" yWindow="-120" windowWidth="23280" windowHeight="1275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7" l="1"/>
  <c r="J8" i="7" l="1"/>
  <c r="F32" i="17"/>
  <c r="F61" i="17" l="1"/>
  <c r="G61" i="17"/>
  <c r="H61" i="17"/>
  <c r="I61" i="17"/>
  <c r="J61" i="17"/>
  <c r="K61" i="17"/>
  <c r="L61" i="17"/>
  <c r="M61" i="17"/>
  <c r="N61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G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H21" i="18"/>
  <c r="K21" i="18"/>
  <c r="H31" i="18"/>
  <c r="K31" i="18"/>
  <c r="J31" i="18"/>
  <c r="F31" i="18"/>
  <c r="H53" i="18"/>
  <c r="H63" i="18"/>
  <c r="D66" i="18" s="1"/>
  <c r="D21" i="15"/>
  <c r="C20" i="15"/>
  <c r="I31" i="18" l="1"/>
  <c r="N31" i="18"/>
  <c r="L31" i="18"/>
  <c r="E31" i="18" s="1"/>
  <c r="L21" i="18"/>
  <c r="M31" i="18"/>
  <c r="G21" i="18"/>
  <c r="I21" i="18"/>
  <c r="M21" i="18"/>
  <c r="D56" i="18"/>
  <c r="J55" i="18" s="1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<sst xmlns="http://schemas.openxmlformats.org/spreadsheetml/2006/main" count="1390" uniqueCount="680">
  <si>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</si>
  <si>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</si>
  <si>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</si>
  <si>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</si>
  <si>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</si>
  <si>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</si>
  <si>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</si>
  <si>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</si>
  <si>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</si>
  <si>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</si>
  <si>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</si>
  <si>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</si>
  <si>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</si>
  <si>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</si>
  <si>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</si>
  <si>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</si>
  <si>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</si>
  <si>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</si>
  <si>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</si>
  <si>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</si>
  <si>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</si>
  <si>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</si>
  <si>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</si>
  <si>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</si>
  <si>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</si>
  <si>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</si>
  <si>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</si>
  <si>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</si>
  <si>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</si>
  <si>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</si>
  <si>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</si>
  <si>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</si>
  <si>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</si>
  <si>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</si>
  <si>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</si>
  <si>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</si>
  <si>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</si>
  <si>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</si>
  <si>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</si>
  <si>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</si>
  <si>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</si>
  <si>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</si>
  <si>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</si>
  <si>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</si>
  <si>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</si>
  <si>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</si>
  <si>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</si>
  <si>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</si>
  <si>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</si>
  <si>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</si>
  <si>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</si>
  <si>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</si>
  <si>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</si>
  <si>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</si>
  <si>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</si>
  <si>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</si>
  <si>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</si>
  <si>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</si>
  <si>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</si>
  <si>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</si>
  <si>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</si>
  <si>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</si>
  <si>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</si>
  <si>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</si>
  <si>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</si>
  <si>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</si>
  <si>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</si>
  <si>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</si>
  <si>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</si>
  <si>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</si>
  <si>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</si>
  <si>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</si>
  <si>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</si>
  <si>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</si>
  <si>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</si>
  <si>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</si>
  <si>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</si>
  <si>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</si>
  <si>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</si>
  <si>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</si>
  <si>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</si>
  <si>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</si>
  <si>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</si>
  <si>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</si>
  <si>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</si>
  <si>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</si>
  <si>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</si>
  <si>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</si>
  <si>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</si>
  <si>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</si>
  <si>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</si>
  <si>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</si>
  <si>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</si>
  <si>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</si>
  <si>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</si>
  <si>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</si>
  <si>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</si>
  <si>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</si>
  <si>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</si>
  <si>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</si>
  <si>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</si>
  <si>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</si>
  <si>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</si>
  <si>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</si>
  <si>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</si>
  <si>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</si>
  <si>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</si>
  <si>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</si>
  <si>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</si>
  <si>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</si>
  <si>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</si>
  <si>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</si>
  <si>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</si>
  <si>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</si>
  <si>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</si>
  <si>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</si>
  <si>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</si>
  <si>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</si>
  <si>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</si>
  <si>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</si>
  <si>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</si>
  <si>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</si>
  <si>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</si>
  <si>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</si>
  <si>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</si>
  <si>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</si>
  <si>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</si>
  <si>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</si>
  <si>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</si>
  <si>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</si>
  <si>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</si>
  <si>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</si>
  <si>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</si>
  <si>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</si>
  <si>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</si>
  <si>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</si>
  <si>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</si>
  <si>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</si>
  <si>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</si>
  <si>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</si>
  <si>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</si>
  <si>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</si>
  <si>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</si>
  <si>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</si>
  <si>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</si>
  <si>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</si>
  <si>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</si>
  <si>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</si>
  <si>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</si>
  <si>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</si>
  <si>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</si>
  <si>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</si>
  <si>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</si>
  <si>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</si>
  <si>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</si>
  <si>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</si>
  <si>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</si>
  <si>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</si>
  <si>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</si>
  <si>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</si>
  <si>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</si>
  <si>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</si>
  <si>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</si>
  <si>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</si>
  <si>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</si>
  <si>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</si>
  <si>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</si>
  <si>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</si>
  <si>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</si>
  <si>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</si>
  <si>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</si>
  <si>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</si>
  <si>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</si>
  <si>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</si>
  <si>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</si>
  <si>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</si>
  <si>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</si>
  <si>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</si>
  <si>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</si>
  <si>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</si>
  <si>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</si>
  <si>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</si>
  <si>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</si>
  <si>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</si>
  <si>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</si>
  <si>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</si>
  <si>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</si>
  <si>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</si>
  <si>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</si>
  <si>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</si>
  <si>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</si>
  <si>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</si>
  <si>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</si>
  <si>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</si>
  <si>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</si>
  <si>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</si>
  <si>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</si>
  <si>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</si>
  <si>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</si>
  <si>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</si>
  <si>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</si>
  <si>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</si>
  <si>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</si>
  <si>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</si>
  <si>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</si>
  <si>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</si>
  <si>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</si>
  <si>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</si>
  <si>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</si>
  <si>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</si>
  <si>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</si>
  <si>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</si>
  <si>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</si>
  <si>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</si>
  <si>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</si>
  <si>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</si>
  <si>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</si>
  <si>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</si>
  <si>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</si>
  <si>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</si>
  <si>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</si>
  <si>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</si>
  <si>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</si>
  <si>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</si>
  <si>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</si>
  <si>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</si>
  <si>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</si>
  <si>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</si>
  <si>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</si>
  <si>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</si>
  <si>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</si>
  <si>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</si>
  <si>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</si>
  <si>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</si>
  <si>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</si>
  <si>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</si>
  <si>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</si>
  <si>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</si>
  <si>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</si>
  <si>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</si>
  <si>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</si>
  <si>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</si>
  <si>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</si>
  <si>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</si>
  <si>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</si>
  <si>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</si>
  <si>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</si>
  <si>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</si>
  <si>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</si>
  <si>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</si>
  <si>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</si>
  <si>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</si>
  <si>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</si>
  <si>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</si>
  <si>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</si>
  <si>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</si>
  <si>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</si>
  <si>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</si>
  <si>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</si>
  <si>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</si>
  <si>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</si>
  <si>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</si>
  <si>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</si>
  <si>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</si>
  <si>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</si>
  <si>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</si>
  <si>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</si>
  <si>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</si>
  <si>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</si>
  <si>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</si>
  <si>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</si>
  <si>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</si>
  <si>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</si>
  <si>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</si>
  <si>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</si>
  <si>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</si>
  <si>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</si>
  <si>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</si>
  <si>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</si>
  <si>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</si>
  <si>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</si>
  <si>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</si>
  <si>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</si>
  <si>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</si>
  <si>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</si>
  <si>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</si>
  <si>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</si>
  <si>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</si>
  <si>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</si>
  <si>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</si>
  <si>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</si>
  <si>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</si>
  <si>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</si>
  <si>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</si>
  <si>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</si>
  <si>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</si>
  <si>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</si>
  <si>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</si>
  <si>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</si>
  <si>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</si>
  <si>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</si>
  <si>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</si>
  <si>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</si>
  <si>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</si>
  <si>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</si>
  <si>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</si>
  <si>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</si>
  <si>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</si>
  <si>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</si>
  <si>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</si>
  <si>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</si>
  <si>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</si>
  <si>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</si>
  <si>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</si>
  <si>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</si>
  <si>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</si>
  <si>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</si>
  <si>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</si>
  <si>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</si>
  <si>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</si>
  <si>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</si>
  <si>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</si>
  <si>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</si>
  <si>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</si>
  <si>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</si>
  <si>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</si>
  <si>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</si>
  <si>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</si>
  <si>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</si>
  <si>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</si>
  <si>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</si>
  <si>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</si>
  <si>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</si>
  <si>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</si>
  <si>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</si>
  <si>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</si>
  <si>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</si>
  <si>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</si>
  <si>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</si>
  <si>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</si>
  <si>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</si>
  <si>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</si>
  <si>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</si>
  <si>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</si>
  <si>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</si>
  <si>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</si>
  <si>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</si>
  <si>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</si>
  <si>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</si>
  <si>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</si>
  <si>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</si>
  <si>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</si>
  <si>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</si>
  <si>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</si>
  <si>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</si>
  <si>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</si>
  <si>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</si>
  <si>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</si>
  <si>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</si>
  <si>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</si>
  <si>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</si>
  <si>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</si>
  <si>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</si>
  <si>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</si>
  <si>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</si>
  <si>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</si>
  <si>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</si>
  <si>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</si>
  <si>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</si>
  <si>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</si>
  <si>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</si>
  <si>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</si>
  <si>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</si>
  <si>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</si>
  <si>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</si>
  <si>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</si>
  <si>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</si>
  <si>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</si>
  <si>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</si>
  <si>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</si>
  <si>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</si>
  <si>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</si>
  <si>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</si>
  <si>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</si>
  <si>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</si>
  <si>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</si>
  <si>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</si>
  <si>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</si>
  <si>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</si>
  <si>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</si>
  <si>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</si>
  <si>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</si>
  <si>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</si>
  <si>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</si>
  <si>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</si>
  <si>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</si>
  <si>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</si>
  <si>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</si>
  <si>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</si>
  <si>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</si>
  <si>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</si>
  <si>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</si>
  <si>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</si>
  <si>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</si>
  <si>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</si>
  <si>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</si>
  <si>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</si>
  <si>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</si>
  <si>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</si>
  <si>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</si>
  <si>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</si>
  <si>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</si>
  <si>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</si>
  <si>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</si>
  <si>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</si>
  <si>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</si>
  <si>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</si>
  <si>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</si>
  <si>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</si>
  <si>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</si>
  <si>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</si>
  <si>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</si>
  <si>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</si>
  <si>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</si>
  <si>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</si>
  <si>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</si>
  <si>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</si>
  <si>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</si>
  <si>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</si>
  <si>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</si>
  <si>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</si>
  <si>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</si>
  <si>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</si>
  <si>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</si>
  <si>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</si>
  <si>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</si>
  <si>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</si>
  <si>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</si>
  <si>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</si>
  <si>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</si>
  <si>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</si>
  <si>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</si>
  <si>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</si>
  <si>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</si>
  <si>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</si>
  <si>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</si>
  <si>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</si>
  <si>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</si>
  <si>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</si>
  <si>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</si>
  <si>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</si>
  <si>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</si>
  <si>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</si>
  <si>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</si>
  <si>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</si>
  <si>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</si>
  <si>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</si>
  <si>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</si>
  <si>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</si>
  <si>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</si>
  <si>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</si>
  <si>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</si>
  <si>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</si>
  <si>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</si>
  <si>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</si>
  <si>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</si>
  <si>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</si>
  <si>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</si>
  <si>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</si>
  <si>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</si>
  <si>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</si>
  <si>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</si>
  <si>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</si>
  <si>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</si>
  <si>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</si>
  <si>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</si>
  <si>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</si>
  <si>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</si>
  <si>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</si>
  <si>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</si>
  <si>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</si>
  <si>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</si>
  <si>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</si>
  <si>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</si>
  <si>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</si>
  <si>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</si>
  <si>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</si>
  <si>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</si>
  <si>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</si>
  <si>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</si>
  <si>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</si>
  <si>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</si>
  <si>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</si>
  <si>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</si>
  <si>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</si>
  <si>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</si>
  <si>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</si>
  <si>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</si>
  <si>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</si>
  <si>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</si>
  <si>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</si>
  <si>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</si>
  <si>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</si>
  <si>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</si>
  <si>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</si>
  <si>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</si>
  <si>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</si>
  <si>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</si>
  <si>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</si>
  <si>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</si>
  <si>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</si>
  <si>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</si>
  <si>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</si>
  <si>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</si>
  <si>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</si>
  <si>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</si>
  <si>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</si>
  <si>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</si>
  <si>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</si>
  <si>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</si>
  <si>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</si>
  <si>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</si>
  <si>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</si>
  <si>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</si>
  <si>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</si>
  <si>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</si>
  <si>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</si>
  <si>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</si>
  <si>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</si>
  <si>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</si>
  <si>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</si>
  <si>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</si>
  <si>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</si>
  <si>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</si>
  <si>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</si>
  <si>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</si>
  <si>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</si>
  <si>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</si>
  <si>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</si>
  <si>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</si>
  <si>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</si>
  <si>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</si>
  <si>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</si>
  <si>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</si>
  <si>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</si>
  <si>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</si>
  <si>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</si>
  <si>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</si>
  <si>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</si>
  <si>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</si>
  <si>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</si>
  <si>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</si>
  <si>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</si>
  <si>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</si>
  <si>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</si>
  <si>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</si>
  <si>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</si>
  <si>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</si>
  <si>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</si>
  <si>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</si>
  <si>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</si>
  <si>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</si>
  <si>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</si>
  <si>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</si>
  <si>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</si>
  <si>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</si>
  <si>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</si>
  <si>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</si>
  <si>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</si>
  <si>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</si>
  <si>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</si>
  <si>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</si>
  <si>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</si>
  <si>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</si>
  <si>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</si>
  <si>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</si>
  <si>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</si>
  <si>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</si>
  <si>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</si>
  <si>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</si>
  <si>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</si>
  <si>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</si>
  <si>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</si>
  <si>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</si>
  <si>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</si>
  <si>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</si>
  <si>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</si>
  <si>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</si>
  <si>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</si>
  <si>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</si>
  <si>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</si>
  <si>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</si>
  <si>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</si>
  <si>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</si>
  <si>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</si>
  <si>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</si>
  <si>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</si>
  <si>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</si>
  <si>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</si>
  <si>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</si>
  <si>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</si>
  <si>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</si>
  <si>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</si>
  <si>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</si>
  <si>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</si>
  <si>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</si>
  <si>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</si>
  <si>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</si>
  <si>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</si>
  <si>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</si>
  <si>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</si>
  <si>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</si>
  <si>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</si>
  <si>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</si>
  <si>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</si>
  <si>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</si>
  <si>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</si>
  <si>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</si>
  <si>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</si>
  <si>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</si>
  <si>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</si>
  <si>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</si>
  <si>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</si>
  <si>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</si>
  <si>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</si>
  <si>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</si>
  <si>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</si>
  <si>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</si>
  <si>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</si>
  <si>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</si>
  <si>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</si>
  <si>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</si>
  <si>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</si>
  <si>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</si>
  <si>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</si>
  <si>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</si>
  <si>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</si>
  <si>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</si>
  <si>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</si>
  <si>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</si>
  <si>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</si>
  <si>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</si>
  <si>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</si>
  <si>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</si>
  <si>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</si>
  <si>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</si>
  <si>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</si>
  <si>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</si>
  <si>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</si>
  <si>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</si>
  <si>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</si>
  <si>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</si>
  <si>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</si>
  <si>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</si>
  <si>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</si>
  <si>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</si>
  <si>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</si>
  <si>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e-regio GmbH % Co. KG</t>
  </si>
  <si>
    <t>Rheinbacher Weg 10</t>
  </si>
  <si>
    <t>Euskirchen</t>
  </si>
  <si>
    <t>Hubertus Beeke-Lentzen</t>
  </si>
  <si>
    <t>netzmanagement@e-regio.de</t>
  </si>
  <si>
    <t>02251/7087153</t>
  </si>
  <si>
    <t>e-regio</t>
  </si>
  <si>
    <t>e-regio GmbH &amp; Co. KG</t>
  </si>
  <si>
    <t>THE0NKH700113000</t>
  </si>
  <si>
    <t>Kall-Sistig</t>
  </si>
  <si>
    <t>DE_HMF04</t>
  </si>
  <si>
    <t>DE_HEF04</t>
  </si>
  <si>
    <t>DE_GMK04</t>
  </si>
  <si>
    <t>DE_GHA04</t>
  </si>
  <si>
    <t>DE_GBD04</t>
  </si>
  <si>
    <t>DE_GGA04</t>
  </si>
  <si>
    <t>DE_GBH04</t>
  </si>
  <si>
    <t>DE_GWA04</t>
  </si>
  <si>
    <t>DE_GGB04</t>
  </si>
  <si>
    <t>DE_GPD04</t>
  </si>
  <si>
    <t>DE_GBA04</t>
  </si>
  <si>
    <t>DE_GKO04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</si>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</sst>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195" fontId="0" fillId="70" borderId="17" xfId="0" applyNumberFormat="1" applyFont="1" applyFill="1" applyBorder="1" applyAlignment="1" applyProtection="1">
      <alignment horizontal="left" vertical="center"/>
      <protection locked="0"/>
    </xf>
    <xf numFmtId="49" fontId="0" fillId="7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management@e-regio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2" sqref="D1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44652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0">
        <v>9870011300009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1">
        <v>53881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2" t="s">
        <v>661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e-regio</v>
      </c>
      <c r="E28" s="38"/>
      <c r="F28" s="11"/>
      <c r="G28" s="2"/>
    </row>
    <row r="29" spans="1:15">
      <c r="B29" s="15"/>
      <c r="C29" s="22" t="s">
        <v>393</v>
      </c>
      <c r="D29" s="43" t="s">
        <v>663</v>
      </c>
      <c r="E29" s="40"/>
      <c r="F29" s="11"/>
      <c r="G29" s="2"/>
    </row>
    <row r="30" spans="1:15">
      <c r="B30" s="15"/>
      <c r="C30" s="22" t="s">
        <v>394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3561CC08-A180-46CD-8289-4E4671BBA859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33" sqref="D3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e-regio GmbH % Co. KG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e-regio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>
        <f>Netzbetreiber!$D$11</f>
        <v>9870011300009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44652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2" t="s">
        <v>665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14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666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="70" zoomScaleNormal="70" workbookViewId="0">
      <selection activeCell="E6" sqref="E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664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">
        <v>663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3">
        <v>9870011300009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44652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Kall-Sistig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/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/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354" t="s">
        <v>502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354" t="s">
        <v>666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354">
        <v>191169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656</v>
      </c>
      <c r="F26" s="155"/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9870011300009191169A</v>
      </c>
      <c r="F27" s="348"/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 t="shared" ref="F32:N32" si="3">ROUND(F33/$D$33,4)</f>
        <v>0</v>
      </c>
      <c r="G32" s="286">
        <f t="shared" si="3"/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</v>
      </c>
      <c r="E33" s="287">
        <v>1</v>
      </c>
      <c r="F33" s="355"/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7"/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511</v>
      </c>
      <c r="F35" s="157"/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7"/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356"/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0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0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MeteoGroup</v>
      </c>
      <c r="F58" s="155">
        <f t="shared" ref="F58:N58" si="7">F23</f>
        <v>0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Kall-Sistig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191169</v>
      </c>
      <c r="F60" s="159">
        <f t="shared" ref="F60:N60" si="9">F25</f>
        <v>0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">
        <v>503</v>
      </c>
      <c r="F61" s="157">
        <f t="shared" ref="F61:N61" si="10">F26</f>
        <v>0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>
        <f t="shared" ref="F68:N68" si="14">F34</f>
        <v>0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Gastag</v>
      </c>
      <c r="F69" s="158">
        <f t="shared" ref="F69:N69" si="15">F35</f>
        <v>0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>
        <f t="shared" ref="F70:N70" si="16">F36</f>
        <v>0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9" t="s">
        <v>580</v>
      </c>
      <c r="D73" s="359"/>
      <c r="E73" s="359"/>
      <c r="F73" s="359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2 F23:N25">
    <cfRule type="expression" dxfId="48" priority="30">
      <formula>IF(E$20&lt;=$F$18,1,0)</formula>
    </cfRule>
  </conditionalFormatting>
  <conditionalFormatting sqref="E33:N37">
    <cfRule type="expression" dxfId="47" priority="29">
      <formula>IF(E$31&lt;=$F$29,1,0)</formula>
    </cfRule>
  </conditionalFormatting>
  <conditionalFormatting sqref="E26:N26">
    <cfRule type="expression" dxfId="46" priority="28">
      <formula>IF(E$20&lt;=$F$18,1,0)</formula>
    </cfRule>
  </conditionalFormatting>
  <conditionalFormatting sqref="E26:N26">
    <cfRule type="expression" dxfId="45" priority="27">
      <formula>IF(E$20&lt;=$F$18,1,0)</formula>
    </cfRule>
  </conditionalFormatting>
  <conditionalFormatting sqref="E57:N60">
    <cfRule type="expression" dxfId="44" priority="24">
      <formula>IF(E$55&lt;=$F$53,1,0)</formula>
    </cfRule>
  </conditionalFormatting>
  <conditionalFormatting sqref="E61:N61">
    <cfRule type="expression" dxfId="43" priority="23">
      <formula>IF(E$55&lt;=$F$53,1,0)</formula>
    </cfRule>
  </conditionalFormatting>
  <conditionalFormatting sqref="E67:N69">
    <cfRule type="expression" dxfId="42" priority="17">
      <formula>IF(E$65&lt;=$F$63,1,0)</formula>
    </cfRule>
  </conditionalFormatting>
  <conditionalFormatting sqref="E66:N69 E71:N71">
    <cfRule type="expression" dxfId="41" priority="15">
      <formula>IF(E$65&gt;$F$63,1,0)</formula>
    </cfRule>
  </conditionalFormatting>
  <conditionalFormatting sqref="E57:N61">
    <cfRule type="expression" dxfId="40" priority="14">
      <formula>IF(E$55&gt;$F$53,1,0)</formula>
    </cfRule>
  </conditionalFormatting>
  <conditionalFormatting sqref="E21:N22 E26:N26 F23:N25">
    <cfRule type="expression" dxfId="39" priority="13">
      <formula>IF(E$20&gt;$F$18,1,0)</formula>
    </cfRule>
  </conditionalFormatting>
  <conditionalFormatting sqref="E33:N37">
    <cfRule type="expression" dxfId="38" priority="12">
      <formula>IF(E$31&gt;$F$29,1,0)</formula>
    </cfRule>
  </conditionalFormatting>
  <conditionalFormatting sqref="H11 H8:H9">
    <cfRule type="expression" dxfId="37" priority="11">
      <formula>IF($F$9=1,1,0)</formula>
    </cfRule>
  </conditionalFormatting>
  <conditionalFormatting sqref="E56:N56">
    <cfRule type="expression" dxfId="36" priority="10">
      <formula>IF(E$55&gt;$F$53,1,0)</formula>
    </cfRule>
  </conditionalFormatting>
  <conditionalFormatting sqref="E32:N32">
    <cfRule type="expression" dxfId="35" priority="9">
      <formula>IF(E$31&gt;$F$29,1,0)</formula>
    </cfRule>
  </conditionalFormatting>
  <conditionalFormatting sqref="E71:N71">
    <cfRule type="expression" dxfId="34" priority="8">
      <formula>IF(E$65&lt;=$F$63,1,0)</formula>
    </cfRule>
  </conditionalFormatting>
  <conditionalFormatting sqref="H10">
    <cfRule type="expression" dxfId="33" priority="7">
      <formula>IF($F$9=1,1,0)</formula>
    </cfRule>
  </conditionalFormatting>
  <conditionalFormatting sqref="E70:N70">
    <cfRule type="expression" dxfId="32" priority="4">
      <formula>IF(E$65&lt;=$F$63,1,0)</formula>
    </cfRule>
  </conditionalFormatting>
  <conditionalFormatting sqref="E70:N70">
    <cfRule type="expression" dxfId="31" priority="3">
      <formula>IF(E$65&gt;$F$63,1,0)</formula>
    </cfRule>
  </conditionalFormatting>
  <conditionalFormatting sqref="E23:E25">
    <cfRule type="expression" dxfId="30" priority="2">
      <formula>IF(E$20&lt;=$F$18,1,0)</formula>
    </cfRule>
  </conditionalFormatting>
  <conditionalFormatting sqref="E23:E25">
    <cfRule type="expression" dxfId="29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58:N58 E23:N23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 E57:N60 E22 I22:N22 F53 F63 G24:N24 G71:N71 E33:E35 E70:N70 G25:N25 G37:N37 G33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e-regio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/>
    <row r="72" spans="2:15" ht="15.75" customHeight="1">
      <c r="C72" s="359" t="s">
        <v>580</v>
      </c>
      <c r="D72" s="359"/>
      <c r="E72" s="359"/>
      <c r="F72" s="35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C26" sqref="C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e-regio GmbH % Co. KG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e-regio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>
        <f>Netzbetreiber!$D$11</f>
        <v>9870011300009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44652</v>
      </c>
      <c r="E8" s="129"/>
      <c r="F8" s="129"/>
      <c r="H8" s="127" t="s">
        <v>493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e-regio</v>
      </c>
      <c r="D12" s="61" t="s">
        <v>248</v>
      </c>
      <c r="E12" s="164" t="s">
        <v>677</v>
      </c>
      <c r="F12" s="306" t="str">
        <f>VLOOKUP($E12,'BDEW-Standard'!$B$3:$M$94,F$9,0)</f>
        <v>BA4</v>
      </c>
      <c r="H12" s="277">
        <f>ROUND(VLOOKUP($E12,'BDEW-Standard'!$B$3:$M$94,H$9,0),7)</f>
        <v>0.93158890000000005</v>
      </c>
      <c r="I12" s="277">
        <f>ROUND(VLOOKUP($E12,'BDEW-Standard'!$B$3:$M$94,I$9,0),7)</f>
        <v>-33.35</v>
      </c>
      <c r="J12" s="277">
        <f>ROUND(VLOOKUP($E12,'BDEW-Standard'!$B$3:$M$94,J$9,0),7)</f>
        <v>5.7212303000000002</v>
      </c>
      <c r="K12" s="277">
        <f>ROUND(VLOOKUP($E12,'BDEW-Standard'!$B$3:$M$94,K$9,0),7)</f>
        <v>0.66564939999999995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25" si="1">($H12/(1+($I12/($Q$9-$L12))^$J12)+$K12)+MAX($M12*$Q$9+$N12,$O12*$Q$9+$P12)</f>
        <v>1.0766391850538448</v>
      </c>
      <c r="R12" s="280">
        <f>ROUND(VLOOKUP(MID($E12,4,3),'Wochentag F(WT)'!$B$7:$J$22,R$9,0),4)</f>
        <v>1.0848</v>
      </c>
      <c r="S12" s="280">
        <f>ROUND(VLOOKUP(MID($E12,4,3),'Wochentag F(WT)'!$B$7:$J$22,S$9,0),4)</f>
        <v>1.1211</v>
      </c>
      <c r="T12" s="280">
        <f>ROUND(VLOOKUP(MID($E12,4,3),'Wochentag F(WT)'!$B$7:$J$22,T$9,0),4)</f>
        <v>1.0769</v>
      </c>
      <c r="U12" s="280">
        <f>ROUND(VLOOKUP(MID($E12,4,3),'Wochentag F(WT)'!$B$7:$J$22,U$9,0),4)</f>
        <v>1.1353</v>
      </c>
      <c r="V12" s="280">
        <f>ROUND(VLOOKUP(MID($E12,4,3),'Wochentag F(WT)'!$B$7:$J$22,V$9,0),4)</f>
        <v>1.1402000000000001</v>
      </c>
      <c r="W12" s="280">
        <f>ROUND(VLOOKUP(MID($E12,4,3),'Wochentag F(WT)'!$B$7:$J$22,W$9,0),4)</f>
        <v>0.48520000000000002</v>
      </c>
      <c r="X12" s="281">
        <f>7-SUM(R12:W12)</f>
        <v>0.95650000000000013</v>
      </c>
      <c r="Y12" s="302"/>
      <c r="Z12" s="211"/>
    </row>
    <row r="13" spans="2:26" s="142" customFormat="1">
      <c r="B13" s="143">
        <v>2</v>
      </c>
      <c r="C13" s="144" t="str">
        <f t="shared" si="0"/>
        <v>e-regio</v>
      </c>
      <c r="D13" s="61" t="s">
        <v>248</v>
      </c>
      <c r="E13" s="164" t="s">
        <v>671</v>
      </c>
      <c r="F13" s="306" t="str">
        <f>VLOOKUP($E13,'BDEW-Standard'!$B$3:$M$94,F$9,0)</f>
        <v>BD4</v>
      </c>
      <c r="H13" s="277">
        <f>ROUND(VLOOKUP($E13,'BDEW-Standard'!$B$3:$M$94,H$9,0),7)</f>
        <v>3.75</v>
      </c>
      <c r="I13" s="277">
        <f>ROUND(VLOOKUP($E13,'BDEW-Standard'!$B$3:$M$94,I$9,0),7)</f>
        <v>-37.5</v>
      </c>
      <c r="J13" s="277">
        <f>ROUND(VLOOKUP($E13,'BDEW-Standard'!$B$3:$M$94,J$9,0),7)</f>
        <v>6.8</v>
      </c>
      <c r="K13" s="277">
        <f>ROUND(VLOOKUP($E13,'BDEW-Standard'!$B$3:$M$94,K$9,0),7)</f>
        <v>6.0911300000000002E-2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1.0126136468627658</v>
      </c>
      <c r="R13" s="280">
        <f>ROUND(VLOOKUP(MID($E13,4,3),'Wochentag F(WT)'!$B$7:$J$22,R$9,0),4)</f>
        <v>1.1052</v>
      </c>
      <c r="S13" s="280">
        <f>ROUND(VLOOKUP(MID($E13,4,3),'Wochentag F(WT)'!$B$7:$J$22,S$9,0),4)</f>
        <v>1.0857000000000001</v>
      </c>
      <c r="T13" s="280">
        <f>ROUND(VLOOKUP(MID($E13,4,3),'Wochentag F(WT)'!$B$7:$J$22,T$9,0),4)</f>
        <v>1.0378000000000001</v>
      </c>
      <c r="U13" s="280">
        <f>ROUND(VLOOKUP(MID($E13,4,3),'Wochentag F(WT)'!$B$7:$J$22,U$9,0),4)</f>
        <v>1.0622</v>
      </c>
      <c r="V13" s="280">
        <f>ROUND(VLOOKUP(MID($E13,4,3),'Wochentag F(WT)'!$B$7:$J$22,V$9,0),4)</f>
        <v>1.0266</v>
      </c>
      <c r="W13" s="280">
        <f>ROUND(VLOOKUP(MID($E13,4,3),'Wochentag F(WT)'!$B$7:$J$22,W$9,0),4)</f>
        <v>0.76290000000000002</v>
      </c>
      <c r="X13" s="281">
        <f t="shared" ref="X13:X25" si="2">7-SUM(R13:W13)</f>
        <v>0.91959999999999997</v>
      </c>
      <c r="Y13" s="302"/>
      <c r="Z13" s="211"/>
    </row>
    <row r="14" spans="2:26" s="142" customFormat="1">
      <c r="B14" s="143">
        <v>3</v>
      </c>
      <c r="C14" s="144" t="str">
        <f t="shared" si="0"/>
        <v>e-regio</v>
      </c>
      <c r="D14" s="61" t="s">
        <v>248</v>
      </c>
      <c r="E14" s="164" t="s">
        <v>673</v>
      </c>
      <c r="F14" s="306" t="str">
        <f>VLOOKUP($E14,'BDEW-Standard'!$B$3:$M$94,F$9,0)</f>
        <v>BH4</v>
      </c>
      <c r="H14" s="277">
        <f>ROUND(VLOOKUP($E14,'BDEW-Standard'!$B$3:$M$94,H$9,0),7)</f>
        <v>2.4595180999999999</v>
      </c>
      <c r="I14" s="277">
        <f>ROUND(VLOOKUP($E14,'BDEW-Standard'!$B$3:$M$94,I$9,0),7)</f>
        <v>-35.253212400000002</v>
      </c>
      <c r="J14" s="277">
        <f>ROUND(VLOOKUP($E14,'BDEW-Standard'!$B$3:$M$94,J$9,0),7)</f>
        <v>6.0587001000000003</v>
      </c>
      <c r="K14" s="277">
        <f>ROUND(VLOOKUP($E14,'BDEW-Standard'!$B$3:$M$94,K$9,0),7)</f>
        <v>0.16473699999999999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1.043802057143173</v>
      </c>
      <c r="R14" s="280">
        <f>ROUND(VLOOKUP(MID($E14,4,3),'Wochentag F(WT)'!$B$7:$J$22,R$9,0),4)</f>
        <v>0.97670000000000001</v>
      </c>
      <c r="S14" s="280">
        <f>ROUND(VLOOKUP(MID($E14,4,3),'Wochentag F(WT)'!$B$7:$J$22,S$9,0),4)</f>
        <v>1.0388999999999999</v>
      </c>
      <c r="T14" s="280">
        <f>ROUND(VLOOKUP(MID($E14,4,3),'Wochentag F(WT)'!$B$7:$J$22,T$9,0),4)</f>
        <v>1.0027999999999999</v>
      </c>
      <c r="U14" s="280">
        <f>ROUND(VLOOKUP(MID($E14,4,3),'Wochentag F(WT)'!$B$7:$J$22,U$9,0),4)</f>
        <v>1.0162</v>
      </c>
      <c r="V14" s="280">
        <f>ROUND(VLOOKUP(MID($E14,4,3),'Wochentag F(WT)'!$B$7:$J$22,V$9,0),4)</f>
        <v>1.0024</v>
      </c>
      <c r="W14" s="280">
        <f>ROUND(VLOOKUP(MID($E14,4,3),'Wochentag F(WT)'!$B$7:$J$22,W$9,0),4)</f>
        <v>1.0043</v>
      </c>
      <c r="X14" s="281">
        <f t="shared" si="2"/>
        <v>0.95870000000000122</v>
      </c>
      <c r="Y14" s="302"/>
      <c r="Z14" s="211"/>
    </row>
    <row r="15" spans="2:26" s="142" customFormat="1">
      <c r="B15" s="143">
        <v>4</v>
      </c>
      <c r="C15" s="144" t="str">
        <f t="shared" si="0"/>
        <v>e-regio</v>
      </c>
      <c r="D15" s="61" t="s">
        <v>248</v>
      </c>
      <c r="E15" s="164" t="s">
        <v>672</v>
      </c>
      <c r="F15" s="306" t="str">
        <f>VLOOKUP($E15,'BDEW-Standard'!$B$3:$M$94,F$9,0)</f>
        <v>GA4</v>
      </c>
      <c r="H15" s="277">
        <f>ROUND(VLOOKUP($E15,'BDEW-Standard'!$B$3:$M$94,H$9,0),7)</f>
        <v>2.8195655999999998</v>
      </c>
      <c r="I15" s="277">
        <f>ROUND(VLOOKUP($E15,'BDEW-Standard'!$B$3:$M$94,I$9,0),7)</f>
        <v>-36</v>
      </c>
      <c r="J15" s="277">
        <f>ROUND(VLOOKUP($E15,'BDEW-Standard'!$B$3:$M$94,J$9,0),7)</f>
        <v>7.7368518000000002</v>
      </c>
      <c r="K15" s="277">
        <f>ROUND(VLOOKUP($E15,'BDEW-Standard'!$B$3:$M$94,K$9,0),7)</f>
        <v>0.157281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0.96576337685759206</v>
      </c>
      <c r="R15" s="280">
        <f>ROUND(VLOOKUP(MID($E15,4,3),'Wochentag F(WT)'!$B$7:$J$22,R$9,0),4)</f>
        <v>0.93220000000000003</v>
      </c>
      <c r="S15" s="280">
        <f>ROUND(VLOOKUP(MID($E15,4,3),'Wochentag F(WT)'!$B$7:$J$22,S$9,0),4)</f>
        <v>0.98939999999999995</v>
      </c>
      <c r="T15" s="280">
        <f>ROUND(VLOOKUP(MID($E15,4,3),'Wochentag F(WT)'!$B$7:$J$22,T$9,0),4)</f>
        <v>1.0033000000000001</v>
      </c>
      <c r="U15" s="280">
        <f>ROUND(VLOOKUP(MID($E15,4,3),'Wochentag F(WT)'!$B$7:$J$22,U$9,0),4)</f>
        <v>1.0108999999999999</v>
      </c>
      <c r="V15" s="280">
        <f>ROUND(VLOOKUP(MID($E15,4,3),'Wochentag F(WT)'!$B$7:$J$22,V$9,0),4)</f>
        <v>1.018</v>
      </c>
      <c r="W15" s="280">
        <f>ROUND(VLOOKUP(MID($E15,4,3),'Wochentag F(WT)'!$B$7:$J$22,W$9,0),4)</f>
        <v>1.0356000000000001</v>
      </c>
      <c r="X15" s="281">
        <f t="shared" si="2"/>
        <v>1.0106000000000002</v>
      </c>
      <c r="Y15" s="302"/>
      <c r="Z15" s="211"/>
    </row>
    <row r="16" spans="2:26" s="142" customFormat="1">
      <c r="B16" s="143">
        <v>5</v>
      </c>
      <c r="C16" s="144" t="str">
        <f t="shared" si="0"/>
        <v>e-regio</v>
      </c>
      <c r="D16" s="61" t="s">
        <v>248</v>
      </c>
      <c r="E16" s="164" t="s">
        <v>675</v>
      </c>
      <c r="F16" s="306" t="str">
        <f>VLOOKUP($E16,'BDEW-Standard'!$B$3:$M$94,F$9,0)</f>
        <v>GB4</v>
      </c>
      <c r="H16" s="277">
        <f>ROUND(VLOOKUP($E16,'BDEW-Standard'!$B$3:$M$94,H$9,0),7)</f>
        <v>3.6017736</v>
      </c>
      <c r="I16" s="277">
        <f>ROUND(VLOOKUP($E16,'BDEW-Standard'!$B$3:$M$94,I$9,0),7)</f>
        <v>-37.882536799999997</v>
      </c>
      <c r="J16" s="277">
        <f>ROUND(VLOOKUP($E16,'BDEW-Standard'!$B$3:$M$94,J$9,0),7)</f>
        <v>6.9836070000000001</v>
      </c>
      <c r="K16" s="277">
        <f>ROUND(VLOOKUP($E16,'BDEW-Standard'!$B$3:$M$94,K$9,0),7)</f>
        <v>5.4826199999999999E-2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1"/>
        <v>0.90239375975311864</v>
      </c>
      <c r="R16" s="280">
        <f>ROUND(VLOOKUP(MID($E16,4,3),'Wochentag F(WT)'!$B$7:$J$22,R$9,0),4)</f>
        <v>0.98970000000000002</v>
      </c>
      <c r="S16" s="280">
        <f>ROUND(VLOOKUP(MID($E16,4,3),'Wochentag F(WT)'!$B$7:$J$22,S$9,0),4)</f>
        <v>0.9627</v>
      </c>
      <c r="T16" s="280">
        <f>ROUND(VLOOKUP(MID($E16,4,3),'Wochentag F(WT)'!$B$7:$J$22,T$9,0),4)</f>
        <v>1.0507</v>
      </c>
      <c r="U16" s="280">
        <f>ROUND(VLOOKUP(MID($E16,4,3),'Wochentag F(WT)'!$B$7:$J$22,U$9,0),4)</f>
        <v>1.0551999999999999</v>
      </c>
      <c r="V16" s="280">
        <f>ROUND(VLOOKUP(MID($E16,4,3),'Wochentag F(WT)'!$B$7:$J$22,V$9,0),4)</f>
        <v>1.0297000000000001</v>
      </c>
      <c r="W16" s="280">
        <f>ROUND(VLOOKUP(MID($E16,4,3),'Wochentag F(WT)'!$B$7:$J$22,W$9,0),4)</f>
        <v>0.97670000000000001</v>
      </c>
      <c r="X16" s="281">
        <f t="shared" si="2"/>
        <v>0.9352999999999998</v>
      </c>
      <c r="Y16" s="302"/>
      <c r="Z16" s="211"/>
    </row>
    <row r="17" spans="2:26" s="142" customFormat="1">
      <c r="B17" s="143">
        <v>6</v>
      </c>
      <c r="C17" s="144" t="str">
        <f t="shared" si="0"/>
        <v>e-regio</v>
      </c>
      <c r="D17" s="61" t="s">
        <v>248</v>
      </c>
      <c r="E17" s="164" t="s">
        <v>670</v>
      </c>
      <c r="F17" s="306" t="str">
        <f>VLOOKUP($E17,'BDEW-Standard'!$B$3:$M$94,F$9,0)</f>
        <v>HA4</v>
      </c>
      <c r="H17" s="277">
        <f>ROUND(VLOOKUP($E17,'BDEW-Standard'!$B$3:$M$94,H$9,0),7)</f>
        <v>4.0196902000000003</v>
      </c>
      <c r="I17" s="277">
        <f>ROUND(VLOOKUP($E17,'BDEW-Standard'!$B$3:$M$94,I$9,0),7)</f>
        <v>-37.828203700000003</v>
      </c>
      <c r="J17" s="277">
        <f>ROUND(VLOOKUP($E17,'BDEW-Standard'!$B$3:$M$94,J$9,0),7)</f>
        <v>8.1593368999999996</v>
      </c>
      <c r="K17" s="277">
        <f>ROUND(VLOOKUP($E17,'BDEW-Standard'!$B$3:$M$94,K$9,0),7)</f>
        <v>4.72845E-2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1"/>
        <v>0.86486713303260787</v>
      </c>
      <c r="R17" s="280">
        <f>ROUND(VLOOKUP(MID($E17,4,3),'Wochentag F(WT)'!$B$7:$J$22,R$9,0),4)</f>
        <v>1.0358000000000001</v>
      </c>
      <c r="S17" s="280">
        <f>ROUND(VLOOKUP(MID($E17,4,3),'Wochentag F(WT)'!$B$7:$J$22,S$9,0),4)</f>
        <v>1.0232000000000001</v>
      </c>
      <c r="T17" s="280">
        <f>ROUND(VLOOKUP(MID($E17,4,3),'Wochentag F(WT)'!$B$7:$J$22,T$9,0),4)</f>
        <v>1.0251999999999999</v>
      </c>
      <c r="U17" s="280">
        <f>ROUND(VLOOKUP(MID($E17,4,3),'Wochentag F(WT)'!$B$7:$J$22,U$9,0),4)</f>
        <v>1.0295000000000001</v>
      </c>
      <c r="V17" s="280">
        <f>ROUND(VLOOKUP(MID($E17,4,3),'Wochentag F(WT)'!$B$7:$J$22,V$9,0),4)</f>
        <v>1.0253000000000001</v>
      </c>
      <c r="W17" s="280">
        <f>ROUND(VLOOKUP(MID($E17,4,3),'Wochentag F(WT)'!$B$7:$J$22,W$9,0),4)</f>
        <v>0.96750000000000003</v>
      </c>
      <c r="X17" s="281">
        <f t="shared" si="2"/>
        <v>0.89350000000000041</v>
      </c>
      <c r="Y17" s="302"/>
      <c r="Z17" s="211"/>
    </row>
    <row r="18" spans="2:26" s="142" customFormat="1">
      <c r="B18" s="143">
        <v>7</v>
      </c>
      <c r="C18" s="144" t="str">
        <f t="shared" si="0"/>
        <v>e-regio</v>
      </c>
      <c r="D18" s="61" t="s">
        <v>248</v>
      </c>
      <c r="E18" s="164" t="s">
        <v>678</v>
      </c>
      <c r="F18" s="306" t="str">
        <f>VLOOKUP($E18,'BDEW-Standard'!$B$3:$M$94,F$9,0)</f>
        <v>KO4</v>
      </c>
      <c r="H18" s="277">
        <f>ROUND(VLOOKUP($E18,'BDEW-Standard'!$B$3:$M$94,H$9,0),7)</f>
        <v>3.4428942999999999</v>
      </c>
      <c r="I18" s="277">
        <f>ROUND(VLOOKUP($E18,'BDEW-Standard'!$B$3:$M$94,I$9,0),7)</f>
        <v>-36.659050399999998</v>
      </c>
      <c r="J18" s="277">
        <f>ROUND(VLOOKUP($E18,'BDEW-Standard'!$B$3:$M$94,J$9,0),7)</f>
        <v>7.6083226000000002</v>
      </c>
      <c r="K18" s="277">
        <f>ROUND(VLOOKUP($E18,'BDEW-Standard'!$B$3:$M$94,K$9,0),7)</f>
        <v>7.4685000000000001E-2</v>
      </c>
      <c r="L18" s="278">
        <f>ROUND(VLOOKUP($E18,'BDEW-Standard'!$B$3:$M$94,L$9,0),1)</f>
        <v>40</v>
      </c>
      <c r="M18" s="277">
        <f>ROUND(VLOOKUP($E18,'BDEW-Standard'!$B$3:$M$94,M$9,0),7)</f>
        <v>0</v>
      </c>
      <c r="N18" s="277">
        <f>ROUND(VLOOKUP($E18,'BDEW-Standard'!$B$3:$M$94,N$9,0),7)</f>
        <v>0</v>
      </c>
      <c r="O18" s="277">
        <f>ROUND(VLOOKUP($E18,'BDEW-Standard'!$B$3:$M$94,O$9,0),7)</f>
        <v>0</v>
      </c>
      <c r="P18" s="277">
        <f>ROUND(VLOOKUP($E18,'BDEW-Standard'!$B$3:$M$94,P$9,0),7)</f>
        <v>0</v>
      </c>
      <c r="Q18" s="279">
        <f t="shared" si="1"/>
        <v>0.97768382110526542</v>
      </c>
      <c r="R18" s="280">
        <f>ROUND(VLOOKUP(MID($E18,4,3),'Wochentag F(WT)'!$B$7:$J$22,R$9,0),4)</f>
        <v>1.0354000000000001</v>
      </c>
      <c r="S18" s="280">
        <f>ROUND(VLOOKUP(MID($E18,4,3),'Wochentag F(WT)'!$B$7:$J$22,S$9,0),4)</f>
        <v>1.0523</v>
      </c>
      <c r="T18" s="280">
        <f>ROUND(VLOOKUP(MID($E18,4,3),'Wochentag F(WT)'!$B$7:$J$22,T$9,0),4)</f>
        <v>1.0448999999999999</v>
      </c>
      <c r="U18" s="280">
        <f>ROUND(VLOOKUP(MID($E18,4,3),'Wochentag F(WT)'!$B$7:$J$22,U$9,0),4)</f>
        <v>1.0494000000000001</v>
      </c>
      <c r="V18" s="280">
        <f>ROUND(VLOOKUP(MID($E18,4,3),'Wochentag F(WT)'!$B$7:$J$22,V$9,0),4)</f>
        <v>0.98850000000000005</v>
      </c>
      <c r="W18" s="280">
        <f>ROUND(VLOOKUP(MID($E18,4,3),'Wochentag F(WT)'!$B$7:$J$22,W$9,0),4)</f>
        <v>0.88600000000000001</v>
      </c>
      <c r="X18" s="281">
        <f t="shared" si="2"/>
        <v>0.94349999999999934</v>
      </c>
      <c r="Y18" s="302"/>
      <c r="Z18" s="211"/>
    </row>
    <row r="19" spans="2:26" s="142" customFormat="1">
      <c r="B19" s="143">
        <v>8</v>
      </c>
      <c r="C19" s="144" t="str">
        <f t="shared" si="0"/>
        <v>e-regio</v>
      </c>
      <c r="D19" s="61" t="s">
        <v>248</v>
      </c>
      <c r="E19" s="164" t="s">
        <v>679</v>
      </c>
      <c r="F19" s="306" t="str">
        <f>VLOOKUP($E19,'BDEW-Standard'!$B$3:$M$94,F$9,0)</f>
        <v>MF4</v>
      </c>
      <c r="H19" s="277">
        <f>ROUND(VLOOKUP($E19,'BDEW-Standard'!$B$3:$M$94,H$9,0),7)</f>
        <v>2.5187775000000001</v>
      </c>
      <c r="I19" s="277">
        <f>ROUND(VLOOKUP($E19,'BDEW-Standard'!$B$3:$M$94,I$9,0),7)</f>
        <v>-35.033375399999997</v>
      </c>
      <c r="J19" s="277">
        <f>ROUND(VLOOKUP($E19,'BDEW-Standard'!$B$3:$M$94,J$9,0),7)</f>
        <v>6.2240634000000004</v>
      </c>
      <c r="K19" s="277">
        <f>ROUND(VLOOKUP($E19,'BDEW-Standard'!$B$3:$M$94,K$9,0),7)</f>
        <v>0.10107820000000001</v>
      </c>
      <c r="L19" s="278">
        <f>ROUND(VLOOKUP($E19,'BDEW-Standard'!$B$3:$M$94,L$9,0),1)</f>
        <v>40</v>
      </c>
      <c r="M19" s="277">
        <f>ROUND(VLOOKUP($E19,'BDEW-Standard'!$B$3:$M$94,M$9,0),7)</f>
        <v>0</v>
      </c>
      <c r="N19" s="277">
        <f>ROUND(VLOOKUP($E19,'BDEW-Standard'!$B$3:$M$94,N$9,0),7)</f>
        <v>0</v>
      </c>
      <c r="O19" s="277">
        <f>ROUND(VLOOKUP($E19,'BDEW-Standard'!$B$3:$M$94,O$9,0),7)</f>
        <v>0</v>
      </c>
      <c r="P19" s="277">
        <f>ROUND(VLOOKUP($E19,'BDEW-Standard'!$B$3:$M$94,P$9,0),7)</f>
        <v>0</v>
      </c>
      <c r="Q19" s="279">
        <f t="shared" si="1"/>
        <v>1.0146273685996503</v>
      </c>
      <c r="R19" s="280">
        <f>ROUND(VLOOKUP(MID($E19,4,3),'Wochentag F(WT)'!$B$7:$J$22,R$9,0),4)</f>
        <v>1.0354000000000001</v>
      </c>
      <c r="S19" s="280">
        <f>ROUND(VLOOKUP(MID($E19,4,3),'Wochentag F(WT)'!$B$7:$J$22,S$9,0),4)</f>
        <v>1.0523</v>
      </c>
      <c r="T19" s="280">
        <f>ROUND(VLOOKUP(MID($E19,4,3),'Wochentag F(WT)'!$B$7:$J$22,T$9,0),4)</f>
        <v>1.0448999999999999</v>
      </c>
      <c r="U19" s="280">
        <f>ROUND(VLOOKUP(MID($E19,4,3),'Wochentag F(WT)'!$B$7:$J$22,U$9,0),4)</f>
        <v>1.0494000000000001</v>
      </c>
      <c r="V19" s="280">
        <f>ROUND(VLOOKUP(MID($E19,4,3),'Wochentag F(WT)'!$B$7:$J$22,V$9,0),4)</f>
        <v>0.98850000000000005</v>
      </c>
      <c r="W19" s="280">
        <f>ROUND(VLOOKUP(MID($E19,4,3),'Wochentag F(WT)'!$B$7:$J$22,W$9,0),4)</f>
        <v>0.88600000000000001</v>
      </c>
      <c r="X19" s="281">
        <f t="shared" si="2"/>
        <v>0.94349999999999934</v>
      </c>
      <c r="Y19" s="302"/>
      <c r="Z19" s="211"/>
    </row>
    <row r="20" spans="2:26" s="142" customFormat="1">
      <c r="B20" s="143">
        <v>9</v>
      </c>
      <c r="C20" s="144" t="str">
        <f t="shared" si="0"/>
        <v>e-regio</v>
      </c>
      <c r="D20" s="61" t="s">
        <v>248</v>
      </c>
      <c r="E20" s="164" t="s">
        <v>669</v>
      </c>
      <c r="F20" s="306" t="str">
        <f>VLOOKUP($E20,'BDEW-Standard'!$B$3:$M$94,F$9,0)</f>
        <v>MK4</v>
      </c>
      <c r="H20" s="277">
        <f>ROUND(VLOOKUP($E20,'BDEW-Standard'!$B$3:$M$94,H$9,0),7)</f>
        <v>3.1177248</v>
      </c>
      <c r="I20" s="277">
        <f>ROUND(VLOOKUP($E20,'BDEW-Standard'!$B$3:$M$94,I$9,0),7)</f>
        <v>-35.871506199999999</v>
      </c>
      <c r="J20" s="277">
        <f>ROUND(VLOOKUP($E20,'BDEW-Standard'!$B$3:$M$94,J$9,0),7)</f>
        <v>7.5186828999999999</v>
      </c>
      <c r="K20" s="277">
        <f>ROUND(VLOOKUP($E20,'BDEW-Standard'!$B$3:$M$94,K$9,0),7)</f>
        <v>3.4330100000000002E-2</v>
      </c>
      <c r="L20" s="278">
        <f>ROUND(VLOOKUP($E20,'BDEW-Standard'!$B$3:$M$94,L$9,0),1)</f>
        <v>40</v>
      </c>
      <c r="M20" s="277">
        <f>ROUND(VLOOKUP($E20,'BDEW-Standard'!$B$3:$M$94,M$9,0),7)</f>
        <v>0</v>
      </c>
      <c r="N20" s="277">
        <f>ROUND(VLOOKUP($E20,'BDEW-Standard'!$B$3:$M$94,N$9,0),7)</f>
        <v>0</v>
      </c>
      <c r="O20" s="277">
        <f>ROUND(VLOOKUP($E20,'BDEW-Standard'!$B$3:$M$94,O$9,0),7)</f>
        <v>0</v>
      </c>
      <c r="P20" s="277">
        <f>ROUND(VLOOKUP($E20,'BDEW-Standard'!$B$3:$M$94,P$9,0),7)</f>
        <v>0</v>
      </c>
      <c r="Q20" s="279">
        <f t="shared" si="1"/>
        <v>0.9622064996731321</v>
      </c>
      <c r="R20" s="280">
        <f>ROUND(VLOOKUP(MID($E20,4,3),'Wochentag F(WT)'!$B$7:$J$22,R$9,0),4)</f>
        <v>1.0699000000000001</v>
      </c>
      <c r="S20" s="280">
        <f>ROUND(VLOOKUP(MID($E20,4,3),'Wochentag F(WT)'!$B$7:$J$22,S$9,0),4)</f>
        <v>1.0365</v>
      </c>
      <c r="T20" s="280">
        <f>ROUND(VLOOKUP(MID($E20,4,3),'Wochentag F(WT)'!$B$7:$J$22,T$9,0),4)</f>
        <v>0.99329999999999996</v>
      </c>
      <c r="U20" s="280">
        <f>ROUND(VLOOKUP(MID($E20,4,3),'Wochentag F(WT)'!$B$7:$J$22,U$9,0),4)</f>
        <v>0.99480000000000002</v>
      </c>
      <c r="V20" s="280">
        <f>ROUND(VLOOKUP(MID($E20,4,3),'Wochentag F(WT)'!$B$7:$J$22,V$9,0),4)</f>
        <v>1.0659000000000001</v>
      </c>
      <c r="W20" s="280">
        <f>ROUND(VLOOKUP(MID($E20,4,3),'Wochentag F(WT)'!$B$7:$J$22,W$9,0),4)</f>
        <v>0.93620000000000003</v>
      </c>
      <c r="X20" s="281">
        <f t="shared" si="2"/>
        <v>0.90339999999999954</v>
      </c>
      <c r="Y20" s="302"/>
      <c r="Z20" s="211"/>
    </row>
    <row r="21" spans="2:26" s="142" customFormat="1">
      <c r="B21" s="143">
        <v>10</v>
      </c>
      <c r="C21" s="144" t="str">
        <f t="shared" si="0"/>
        <v>e-regio</v>
      </c>
      <c r="D21" s="61" t="s">
        <v>248</v>
      </c>
      <c r="E21" s="164" t="s">
        <v>676</v>
      </c>
      <c r="F21" s="306" t="str">
        <f>VLOOKUP($E21,'BDEW-Standard'!$B$3:$M$94,F$9,0)</f>
        <v>PD4</v>
      </c>
      <c r="H21" s="277">
        <f>ROUND(VLOOKUP($E21,'BDEW-Standard'!$B$3:$M$94,H$9,0),7)</f>
        <v>3.85</v>
      </c>
      <c r="I21" s="277">
        <f>ROUND(VLOOKUP($E21,'BDEW-Standard'!$B$3:$M$94,I$9,0),7)</f>
        <v>-37</v>
      </c>
      <c r="J21" s="277">
        <f>ROUND(VLOOKUP($E21,'BDEW-Standard'!$B$3:$M$94,J$9,0),7)</f>
        <v>10.2405021</v>
      </c>
      <c r="K21" s="277">
        <f>ROUND(VLOOKUP($E21,'BDEW-Standard'!$B$3:$M$94,K$9,0),7)</f>
        <v>4.6924300000000002E-2</v>
      </c>
      <c r="L21" s="278">
        <f>ROUND(VLOOKUP($E21,'BDEW-Standard'!$B$3:$M$94,L$9,0),1)</f>
        <v>40</v>
      </c>
      <c r="M21" s="277">
        <f>ROUND(VLOOKUP($E21,'BDEW-Standard'!$B$3:$M$94,M$9,0),7)</f>
        <v>0</v>
      </c>
      <c r="N21" s="277">
        <f>ROUND(VLOOKUP($E21,'BDEW-Standard'!$B$3:$M$94,N$9,0),7)</f>
        <v>0</v>
      </c>
      <c r="O21" s="277">
        <f>ROUND(VLOOKUP($E21,'BDEW-Standard'!$B$3:$M$94,O$9,0),7)</f>
        <v>0</v>
      </c>
      <c r="P21" s="277">
        <f>ROUND(VLOOKUP($E21,'BDEW-Standard'!$B$3:$M$94,P$9,0),7)</f>
        <v>0</v>
      </c>
      <c r="Q21" s="279">
        <f t="shared" si="1"/>
        <v>0.75691065279879233</v>
      </c>
      <c r="R21" s="280">
        <f>ROUND(VLOOKUP(MID($E21,4,3),'Wochentag F(WT)'!$B$7:$J$22,R$9,0),4)</f>
        <v>1.0214000000000001</v>
      </c>
      <c r="S21" s="280">
        <f>ROUND(VLOOKUP(MID($E21,4,3),'Wochentag F(WT)'!$B$7:$J$22,S$9,0),4)</f>
        <v>1.0866</v>
      </c>
      <c r="T21" s="280">
        <f>ROUND(VLOOKUP(MID($E21,4,3),'Wochentag F(WT)'!$B$7:$J$22,T$9,0),4)</f>
        <v>1.0720000000000001</v>
      </c>
      <c r="U21" s="280">
        <f>ROUND(VLOOKUP(MID($E21,4,3),'Wochentag F(WT)'!$B$7:$J$22,U$9,0),4)</f>
        <v>1.0557000000000001</v>
      </c>
      <c r="V21" s="280">
        <f>ROUND(VLOOKUP(MID($E21,4,3),'Wochentag F(WT)'!$B$7:$J$22,V$9,0),4)</f>
        <v>1.0117</v>
      </c>
      <c r="W21" s="280">
        <f>ROUND(VLOOKUP(MID($E21,4,3),'Wochentag F(WT)'!$B$7:$J$22,W$9,0),4)</f>
        <v>0.90010000000000001</v>
      </c>
      <c r="X21" s="281">
        <f t="shared" si="2"/>
        <v>0.85249999999999915</v>
      </c>
      <c r="Y21" s="302"/>
      <c r="Z21" s="211"/>
    </row>
    <row r="22" spans="2:26" s="142" customFormat="1">
      <c r="B22" s="143">
        <v>11</v>
      </c>
      <c r="C22" s="144" t="str">
        <f t="shared" si="0"/>
        <v>e-regio</v>
      </c>
      <c r="D22" s="61" t="s">
        <v>248</v>
      </c>
      <c r="E22" s="164" t="s">
        <v>674</v>
      </c>
      <c r="F22" s="306" t="str">
        <f>VLOOKUP($E22,'BDEW-Standard'!$B$3:$M$94,F$9,0)</f>
        <v>WA4</v>
      </c>
      <c r="H22" s="277">
        <f>ROUND(VLOOKUP($E22,'BDEW-Standard'!$B$3:$M$94,H$9,0),7)</f>
        <v>1.0535874999999999</v>
      </c>
      <c r="I22" s="277">
        <f>ROUND(VLOOKUP($E22,'BDEW-Standard'!$B$3:$M$94,I$9,0),7)</f>
        <v>-35.299999999999997</v>
      </c>
      <c r="J22" s="277">
        <f>ROUND(VLOOKUP($E22,'BDEW-Standard'!$B$3:$M$94,J$9,0),7)</f>
        <v>4.8662747</v>
      </c>
      <c r="K22" s="277">
        <f>ROUND(VLOOKUP($E22,'BDEW-Standard'!$B$3:$M$94,K$9,0),7)</f>
        <v>0.68110420000000005</v>
      </c>
      <c r="L22" s="278">
        <f>ROUND(VLOOKUP($E22,'BDEW-Standard'!$B$3:$M$94,L$9,0),1)</f>
        <v>40</v>
      </c>
      <c r="M22" s="277">
        <f>ROUND(VLOOKUP($E22,'BDEW-Standard'!$B$3:$M$94,M$9,0),7)</f>
        <v>0</v>
      </c>
      <c r="N22" s="277">
        <f>ROUND(VLOOKUP($E22,'BDEW-Standard'!$B$3:$M$94,N$9,0),7)</f>
        <v>0</v>
      </c>
      <c r="O22" s="277">
        <f>ROUND(VLOOKUP($E22,'BDEW-Standard'!$B$3:$M$94,O$9,0),7)</f>
        <v>0</v>
      </c>
      <c r="P22" s="277">
        <f>ROUND(VLOOKUP($E22,'BDEW-Standard'!$B$3:$M$94,P$9,0),7)</f>
        <v>0</v>
      </c>
      <c r="Q22" s="279">
        <f t="shared" si="1"/>
        <v>1.0844348950990992</v>
      </c>
      <c r="R22" s="280">
        <f>ROUND(VLOOKUP(MID($E22,4,3),'Wochentag F(WT)'!$B$7:$J$22,R$9,0),4)</f>
        <v>1.2457</v>
      </c>
      <c r="S22" s="280">
        <f>ROUND(VLOOKUP(MID($E22,4,3),'Wochentag F(WT)'!$B$7:$J$22,S$9,0),4)</f>
        <v>1.2615000000000001</v>
      </c>
      <c r="T22" s="280">
        <f>ROUND(VLOOKUP(MID($E22,4,3),'Wochentag F(WT)'!$B$7:$J$22,T$9,0),4)</f>
        <v>1.2706999999999999</v>
      </c>
      <c r="U22" s="280">
        <f>ROUND(VLOOKUP(MID($E22,4,3),'Wochentag F(WT)'!$B$7:$J$22,U$9,0),4)</f>
        <v>1.2430000000000001</v>
      </c>
      <c r="V22" s="280">
        <f>ROUND(VLOOKUP(MID($E22,4,3),'Wochentag F(WT)'!$B$7:$J$22,V$9,0),4)</f>
        <v>1.1275999999999999</v>
      </c>
      <c r="W22" s="280">
        <f>ROUND(VLOOKUP(MID($E22,4,3),'Wochentag F(WT)'!$B$7:$J$22,W$9,0),4)</f>
        <v>0.38769999999999999</v>
      </c>
      <c r="X22" s="281">
        <f t="shared" si="2"/>
        <v>0.46379999999999999</v>
      </c>
      <c r="Y22" s="302"/>
      <c r="Z22" s="211"/>
    </row>
    <row r="23" spans="2:26" s="142" customFormat="1">
      <c r="B23" s="143">
        <v>12</v>
      </c>
      <c r="C23" s="144" t="str">
        <f t="shared" si="0"/>
        <v>e-regio</v>
      </c>
      <c r="D23" s="61" t="s">
        <v>248</v>
      </c>
      <c r="E23" s="164" t="s">
        <v>668</v>
      </c>
      <c r="F23" s="306" t="str">
        <f>VLOOKUP($E23,'BDEW-Standard'!$B$3:$M$94,F$9,0)</f>
        <v>D14</v>
      </c>
      <c r="H23" s="277">
        <f>ROUND(VLOOKUP($E23,'BDEW-Standard'!$B$3:$M$94,H$9,0),7)</f>
        <v>3.1850190999999999</v>
      </c>
      <c r="I23" s="277">
        <f>ROUND(VLOOKUP($E23,'BDEW-Standard'!$B$3:$M$94,I$9,0),7)</f>
        <v>-37.412415500000002</v>
      </c>
      <c r="J23" s="277">
        <f>ROUND(VLOOKUP($E23,'BDEW-Standard'!$B$3:$M$94,J$9,0),7)</f>
        <v>6.1723179000000004</v>
      </c>
      <c r="K23" s="277">
        <f>ROUND(VLOOKUP($E23,'BDEW-Standard'!$B$3:$M$94,K$9,0),7)</f>
        <v>7.6109599999999999E-2</v>
      </c>
      <c r="L23" s="278">
        <f>ROUND(VLOOKUP($E23,'BDEW-Standard'!$B$3:$M$94,L$9,0),1)</f>
        <v>40</v>
      </c>
      <c r="M23" s="277">
        <f>ROUND(VLOOKUP($E23,'BDEW-Standard'!$B$3:$M$94,M$9,0),7)</f>
        <v>0</v>
      </c>
      <c r="N23" s="277">
        <f>ROUND(VLOOKUP($E23,'BDEW-Standard'!$B$3:$M$94,N$9,0),7)</f>
        <v>0</v>
      </c>
      <c r="O23" s="277">
        <f>ROUND(VLOOKUP($E23,'BDEW-Standard'!$B$3:$M$94,O$9,0),7)</f>
        <v>0</v>
      </c>
      <c r="P23" s="277">
        <f>ROUND(VLOOKUP($E23,'BDEW-Standard'!$B$3:$M$94,P$9,0),7)</f>
        <v>0</v>
      </c>
      <c r="Q23" s="279">
        <f t="shared" si="1"/>
        <v>0.95508749343949439</v>
      </c>
      <c r="R23" s="280">
        <f>ROUND(VLOOKUP(MID($E23,4,3),'Wochentag F(WT)'!$B$7:$J$22,R$9,0),4)</f>
        <v>1</v>
      </c>
      <c r="S23" s="280">
        <f>ROUND(VLOOKUP(MID($E23,4,3),'Wochentag F(WT)'!$B$7:$J$22,S$9,0),4)</f>
        <v>1</v>
      </c>
      <c r="T23" s="280">
        <f>ROUND(VLOOKUP(MID($E23,4,3),'Wochentag F(WT)'!$B$7:$J$22,T$9,0),4)</f>
        <v>1</v>
      </c>
      <c r="U23" s="280">
        <f>ROUND(VLOOKUP(MID($E23,4,3),'Wochentag F(WT)'!$B$7:$J$22,U$9,0),4)</f>
        <v>1</v>
      </c>
      <c r="V23" s="280">
        <f>ROUND(VLOOKUP(MID($E23,4,3),'Wochentag F(WT)'!$B$7:$J$22,V$9,0),4)</f>
        <v>1</v>
      </c>
      <c r="W23" s="280">
        <f>ROUND(VLOOKUP(MID($E23,4,3),'Wochentag F(WT)'!$B$7:$J$22,W$9,0),4)</f>
        <v>1</v>
      </c>
      <c r="X23" s="281">
        <f t="shared" si="2"/>
        <v>1</v>
      </c>
      <c r="Y23" s="302"/>
      <c r="Z23" s="211"/>
    </row>
    <row r="24" spans="2:26" s="142" customFormat="1">
      <c r="B24" s="143">
        <v>13</v>
      </c>
      <c r="C24" s="144" t="str">
        <f t="shared" si="0"/>
        <v>e-regio</v>
      </c>
      <c r="D24" s="61" t="s">
        <v>248</v>
      </c>
      <c r="E24" s="164" t="s">
        <v>4</v>
      </c>
      <c r="F24" s="306" t="str">
        <f>VLOOKUP($E24,'BDEW-Standard'!$B$3:$M$94,F$9,0)</f>
        <v>HK3</v>
      </c>
      <c r="H24" s="277">
        <f>ROUND(VLOOKUP($E24,'BDEW-Standard'!$B$3:$M$94,H$9,0),7)</f>
        <v>0.40409319999999999</v>
      </c>
      <c r="I24" s="277">
        <f>ROUND(VLOOKUP($E24,'BDEW-Standard'!$B$3:$M$94,I$9,0),7)</f>
        <v>-24.439296800000001</v>
      </c>
      <c r="J24" s="277">
        <f>ROUND(VLOOKUP($E24,'BDEW-Standard'!$B$3:$M$94,J$9,0),7)</f>
        <v>6.5718174999999999</v>
      </c>
      <c r="K24" s="277">
        <f>ROUND(VLOOKUP($E24,'BDEW-Standard'!$B$3:$M$94,K$9,0),7)</f>
        <v>0.71077100000000004</v>
      </c>
      <c r="L24" s="278">
        <f>ROUND(VLOOKUP($E24,'BDEW-Standard'!$B$3:$M$94,L$9,0),1)</f>
        <v>40</v>
      </c>
      <c r="M24" s="277">
        <f>ROUND(VLOOKUP($E24,'BDEW-Standard'!$B$3:$M$94,M$9,0),7)</f>
        <v>0</v>
      </c>
      <c r="N24" s="277">
        <f>ROUND(VLOOKUP($E24,'BDEW-Standard'!$B$3:$M$94,N$9,0),7)</f>
        <v>0</v>
      </c>
      <c r="O24" s="277">
        <f>ROUND(VLOOKUP($E24,'BDEW-Standard'!$B$3:$M$94,O$9,0),7)</f>
        <v>0</v>
      </c>
      <c r="P24" s="277">
        <f>ROUND(VLOOKUP($E24,'BDEW-Standard'!$B$3:$M$94,P$9,0),7)</f>
        <v>0</v>
      </c>
      <c r="Q24" s="279">
        <f t="shared" si="1"/>
        <v>1.0561214000512988</v>
      </c>
      <c r="R24" s="280">
        <f>ROUND(VLOOKUP(MID($E24,4,3),'Wochentag F(WT)'!$B$7:$J$22,R$9,0),4)</f>
        <v>1</v>
      </c>
      <c r="S24" s="280">
        <f>ROUND(VLOOKUP(MID($E24,4,3),'Wochentag F(WT)'!$B$7:$J$22,S$9,0),4)</f>
        <v>1</v>
      </c>
      <c r="T24" s="280">
        <f>ROUND(VLOOKUP(MID($E24,4,3),'Wochentag F(WT)'!$B$7:$J$22,T$9,0),4)</f>
        <v>1</v>
      </c>
      <c r="U24" s="280">
        <f>ROUND(VLOOKUP(MID($E24,4,3),'Wochentag F(WT)'!$B$7:$J$22,U$9,0),4)</f>
        <v>1</v>
      </c>
      <c r="V24" s="280">
        <f>ROUND(VLOOKUP(MID($E24,4,3),'Wochentag F(WT)'!$B$7:$J$22,V$9,0),4)</f>
        <v>1</v>
      </c>
      <c r="W24" s="280">
        <f>ROUND(VLOOKUP(MID($E24,4,3),'Wochentag F(WT)'!$B$7:$J$22,W$9,0),4)</f>
        <v>1</v>
      </c>
      <c r="X24" s="281">
        <f t="shared" si="2"/>
        <v>1</v>
      </c>
      <c r="Y24" s="302"/>
      <c r="Z24" s="211"/>
    </row>
    <row r="25" spans="2:26" s="142" customFormat="1">
      <c r="B25" s="143">
        <v>14</v>
      </c>
      <c r="C25" s="144" t="str">
        <f t="shared" si="0"/>
        <v>e-regio</v>
      </c>
      <c r="D25" s="61" t="s">
        <v>248</v>
      </c>
      <c r="E25" s="164" t="s">
        <v>667</v>
      </c>
      <c r="F25" s="306" t="str">
        <f>VLOOKUP($E25,'BDEW-Standard'!$B$3:$M$94,F$9,0)</f>
        <v>D24</v>
      </c>
      <c r="H25" s="277">
        <f>ROUND(VLOOKUP($E25,'BDEW-Standard'!$B$3:$M$94,H$9,0),7)</f>
        <v>2.5187775000000001</v>
      </c>
      <c r="I25" s="277">
        <f>ROUND(VLOOKUP($E25,'BDEW-Standard'!$B$3:$M$94,I$9,0),7)</f>
        <v>-35.033375399999997</v>
      </c>
      <c r="J25" s="277">
        <f>ROUND(VLOOKUP($E25,'BDEW-Standard'!$B$3:$M$94,J$9,0),7)</f>
        <v>6.2240634000000004</v>
      </c>
      <c r="K25" s="277">
        <f>ROUND(VLOOKUP($E25,'BDEW-Standard'!$B$3:$M$94,K$9,0),7)</f>
        <v>0.10107820000000001</v>
      </c>
      <c r="L25" s="278">
        <f>ROUND(VLOOKUP($E25,'BDEW-Standard'!$B$3:$M$94,L$9,0),1)</f>
        <v>40</v>
      </c>
      <c r="M25" s="277">
        <f>ROUND(VLOOKUP($E25,'BDEW-Standard'!$B$3:$M$94,M$9,0),7)</f>
        <v>0</v>
      </c>
      <c r="N25" s="277">
        <f>ROUND(VLOOKUP($E25,'BDEW-Standard'!$B$3:$M$94,N$9,0),7)</f>
        <v>0</v>
      </c>
      <c r="O25" s="277">
        <f>ROUND(VLOOKUP($E25,'BDEW-Standard'!$B$3:$M$94,O$9,0),7)</f>
        <v>0</v>
      </c>
      <c r="P25" s="277">
        <f>ROUND(VLOOKUP($E25,'BDEW-Standard'!$B$3:$M$94,P$9,0),7)</f>
        <v>0</v>
      </c>
      <c r="Q25" s="279">
        <f t="shared" si="1"/>
        <v>1.0146273685996503</v>
      </c>
      <c r="R25" s="280">
        <f>ROUND(VLOOKUP(MID($E25,4,3),'Wochentag F(WT)'!$B$7:$J$22,R$9,0),4)</f>
        <v>1</v>
      </c>
      <c r="S25" s="280">
        <f>ROUND(VLOOKUP(MID($E25,4,3),'Wochentag F(WT)'!$B$7:$J$22,S$9,0),4)</f>
        <v>1</v>
      </c>
      <c r="T25" s="280">
        <f>ROUND(VLOOKUP(MID($E25,4,3),'Wochentag F(WT)'!$B$7:$J$22,T$9,0),4)</f>
        <v>1</v>
      </c>
      <c r="U25" s="280">
        <f>ROUND(VLOOKUP(MID($E25,4,3),'Wochentag F(WT)'!$B$7:$J$22,U$9,0),4)</f>
        <v>1</v>
      </c>
      <c r="V25" s="280">
        <f>ROUND(VLOOKUP(MID($E25,4,3),'Wochentag F(WT)'!$B$7:$J$22,V$9,0),4)</f>
        <v>1</v>
      </c>
      <c r="W25" s="280">
        <f>ROUND(VLOOKUP(MID($E25,4,3),'Wochentag F(WT)'!$B$7:$J$22,W$9,0),4)</f>
        <v>1</v>
      </c>
      <c r="X25" s="281">
        <f t="shared" si="2"/>
        <v>1</v>
      </c>
      <c r="Y25" s="302"/>
      <c r="Z25" s="211"/>
    </row>
    <row r="26" spans="2:26" s="142" customFormat="1">
      <c r="B26" s="143">
        <v>15</v>
      </c>
      <c r="C26" s="144" t="str">
        <f t="shared" si="0"/>
        <v>e-regio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 t="str">
        <f t="shared" si="0"/>
        <v>e-regio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 t="str">
        <f t="shared" si="0"/>
        <v>e-regio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e-regio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e-regio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e-regio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e-regio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e-regio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e-regio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e-regio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e-regio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e-regio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e-regio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e-regio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e-regio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e-regio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e-regio GmbH % Co. KG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441</v>
      </c>
      <c r="C5" s="63" t="str">
        <f>Netzbetreiber!D28</f>
        <v>e-regio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439</v>
      </c>
      <c r="C6" s="62">
        <f>Netzbetreiber!$D$11</f>
        <v>9870011300009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7">
        <f>Netzbetreiber!$D$6</f>
        <v>44652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60" t="s">
        <v>455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5" t="s">
        <v>583</v>
      </c>
      <c r="C10" s="366"/>
      <c r="D10" s="93">
        <v>2</v>
      </c>
      <c r="E10" s="94" t="str">
        <f>IF(ISERROR(HLOOKUP(E$11,$M$9:$AD$35,$D10,0)),"",HLOOKUP(E$11,$M$9:$AD$35,$D10,0))</f>
        <v/>
      </c>
      <c r="F10" s="363" t="s">
        <v>395</v>
      </c>
      <c r="G10" s="363"/>
      <c r="H10" s="363"/>
      <c r="I10" s="363"/>
      <c r="J10" s="363"/>
      <c r="K10" s="363"/>
      <c r="L10" s="364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417</v>
      </c>
      <c r="C24" s="116"/>
      <c r="D24" s="110">
        <v>15</v>
      </c>
      <c r="E24" s="314">
        <f t="shared" si="0"/>
        <v>0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406</v>
      </c>
      <c r="C30" s="116"/>
      <c r="D30" s="110">
        <v>20</v>
      </c>
      <c r="E30" s="314">
        <f t="shared" si="0"/>
        <v>0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7" t="s">
        <v>249</v>
      </c>
      <c r="B3" s="237" t="s">
        <v>86</v>
      </c>
      <c r="C3" s="238"/>
      <c r="D3" s="369" t="s">
        <v>454</v>
      </c>
      <c r="E3" s="370"/>
      <c r="F3" s="370"/>
      <c r="G3" s="370"/>
      <c r="H3" s="370"/>
      <c r="I3" s="370"/>
      <c r="J3" s="371"/>
      <c r="K3" s="239"/>
      <c r="L3" s="239"/>
      <c r="M3" s="239"/>
      <c r="N3" s="239"/>
      <c r="O3" s="240"/>
      <c r="P3" s="239"/>
    </row>
    <row r="4" spans="1:16" ht="20.100000000000001" customHeight="1">
      <c r="A4" s="368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Bales Christian</cp:lastModifiedBy>
  <cp:lastPrinted>2015-03-20T22:59:10Z</cp:lastPrinted>
  <dcterms:created xsi:type="dcterms:W3CDTF">2015-01-15T05:25:41Z</dcterms:created>
  <dcterms:modified xsi:type="dcterms:W3CDTF">2022-02-15T08:49:03Z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