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795" windowWidth="15600" windowHeight="6750" tabRatio="789" activeTab="7"/>
  </bookViews>
  <sheets>
    <sheet name="Info" sheetId="14" r:id="rId1"/>
    <sheet name="Netzbetreiber" sheetId="5" r:id="rId2"/>
    <sheet name="SLP-Verfahren" sheetId="15" r:id="rId3"/>
    <sheet name="SLP-Temp-Gebiet Kall-Sistig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J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F53" i="18" l="1"/>
  <c r="I53" i="18"/>
  <c r="K53" i="18"/>
  <c r="N53" i="18"/>
  <c r="E63" i="18"/>
  <c r="G63" i="18"/>
  <c r="J63" i="18"/>
  <c r="M63" i="18"/>
  <c r="F63" i="18"/>
  <c r="I63" i="18"/>
  <c r="K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D56" i="18" s="1"/>
  <c r="J55" i="18" s="1"/>
  <c r="H63" i="18"/>
  <c r="D66" i="18" s="1"/>
  <c r="D24" i="15"/>
  <c r="C23" i="15"/>
  <c r="E31" i="18" l="1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<sst xmlns="http://schemas.openxmlformats.org/spreadsheetml/2006/main" count="1373" uniqueCount="679">
  <si>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</si>
  <si>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</si>
  <si>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</si>
  <si>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</si>
  <si>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</si>
  <si>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</si>
  <si>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</si>
  <si>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</si>
  <si>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</si>
  <si>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</si>
  <si>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</si>
  <si>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</si>
  <si>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</si>
  <si>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</si>
  <si>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</si>
  <si>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</si>
  <si>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</si>
  <si>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</si>
  <si>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</si>
  <si>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</si>
  <si>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</si>
  <si>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</si>
  <si>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</si>
  <si>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</si>
  <si>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</si>
  <si>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</si>
  <si>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</si>
  <si>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</si>
  <si>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</si>
  <si>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</si>
  <si>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</si>
  <si>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</si>
  <si>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</si>
  <si>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</si>
  <si>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</si>
  <si>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</si>
  <si>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</si>
  <si>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</si>
  <si>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</si>
  <si>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</si>
  <si>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</si>
  <si>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</si>
  <si>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</si>
  <si>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</si>
  <si>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</si>
  <si>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</si>
  <si>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</si>
  <si>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</si>
  <si>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</si>
  <si>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</si>
  <si>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</si>
  <si>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</si>
  <si>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</si>
  <si>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</si>
  <si>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</si>
  <si>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</si>
  <si>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</si>
  <si>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</si>
  <si>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</si>
  <si>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</si>
  <si>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</si>
  <si>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</si>
  <si>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</si>
  <si>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</si>
  <si>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</si>
  <si>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</si>
  <si>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</si>
  <si>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</si>
  <si>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</si>
  <si>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</si>
  <si>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</si>
  <si>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</si>
  <si>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</si>
  <si>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</si>
  <si>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</si>
  <si>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</si>
  <si>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</si>
  <si>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</si>
  <si>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</si>
  <si>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</si>
  <si>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</si>
  <si>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</si>
  <si>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</si>
  <si>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</si>
  <si>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</si>
  <si>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</si>
  <si>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</si>
  <si>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</si>
  <si>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</si>
  <si>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</si>
  <si>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</si>
  <si>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</si>
  <si>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</si>
  <si>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</si>
  <si>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</si>
  <si>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</si>
  <si>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</si>
  <si>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</si>
  <si>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</si>
  <si>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</si>
  <si>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</si>
  <si>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</si>
  <si>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</si>
  <si>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</si>
  <si>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</si>
  <si>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</si>
  <si>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</si>
  <si>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</si>
  <si>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</si>
  <si>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</si>
  <si>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</si>
  <si>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</si>
  <si>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</si>
  <si>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</si>
  <si>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</si>
  <si>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</si>
  <si>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</si>
  <si>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</si>
  <si>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</si>
  <si>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</si>
  <si>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</si>
  <si>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</si>
  <si>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</si>
  <si>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</si>
  <si>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</si>
  <si>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</si>
  <si>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</si>
  <si>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</si>
  <si>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</si>
  <si>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</si>
  <si>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</si>
  <si>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</si>
  <si>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</si>
  <si>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</si>
  <si>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</si>
  <si>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</si>
  <si>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</si>
  <si>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</si>
  <si>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</si>
  <si>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</si>
  <si>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</si>
  <si>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</si>
  <si>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</si>
  <si>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</si>
  <si>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</si>
  <si>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</si>
  <si>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</si>
  <si>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</si>
  <si>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</si>
  <si>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</si>
  <si>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</si>
  <si>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</si>
  <si>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</si>
  <si>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</si>
  <si>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</si>
  <si>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</si>
  <si>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</si>
  <si>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</si>
  <si>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</si>
  <si>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</si>
  <si>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</si>
  <si>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</si>
  <si>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</si>
  <si>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</si>
  <si>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</si>
  <si>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</si>
  <si>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</si>
  <si>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</si>
  <si>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</si>
  <si>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</si>
  <si>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</si>
  <si>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</si>
  <si>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</si>
  <si>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</si>
  <si>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</si>
  <si>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</si>
  <si>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</si>
  <si>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</si>
  <si>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</si>
  <si>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</si>
  <si>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</si>
  <si>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</si>
  <si>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</si>
  <si>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</si>
  <si>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</si>
  <si>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</si>
  <si>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</si>
  <si>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</si>
  <si>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</si>
  <si>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</si>
  <si>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</si>
  <si>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</si>
  <si>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</si>
  <si>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</si>
  <si>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</si>
  <si>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</si>
  <si>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</si>
  <si>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</si>
  <si>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</si>
  <si>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</si>
  <si>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</si>
  <si>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</si>
  <si>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</si>
  <si>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</si>
  <si>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</si>
  <si>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</si>
  <si>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</si>
  <si>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</si>
  <si>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</si>
  <si>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</si>
  <si>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</si>
  <si>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</si>
  <si>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</si>
  <si>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</si>
  <si>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</si>
  <si>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</si>
  <si>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</si>
  <si>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</si>
  <si>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</si>
  <si>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</si>
  <si>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</si>
  <si>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</si>
  <si>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</si>
  <si>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</si>
  <si>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</si>
  <si>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</si>
  <si>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</si>
  <si>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</si>
  <si>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</si>
  <si>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</si>
  <si>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</si>
  <si>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</si>
  <si>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</si>
  <si>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</si>
  <si>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</si>
  <si>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</si>
  <si>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</si>
  <si>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</si>
  <si>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</si>
  <si>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</si>
  <si>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</si>
  <si>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</si>
  <si>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</si>
  <si>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</si>
  <si>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</si>
  <si>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</si>
  <si>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</si>
  <si>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</si>
  <si>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</si>
  <si>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</si>
  <si>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</si>
  <si>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</si>
  <si>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</si>
  <si>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</si>
  <si>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</si>
  <si>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</si>
  <si>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</si>
  <si>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</si>
  <si>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</si>
  <si>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</si>
  <si>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</si>
  <si>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</si>
  <si>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</si>
  <si>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</si>
  <si>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</si>
  <si>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</si>
  <si>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</si>
  <si>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</si>
  <si>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</si>
  <si>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</si>
  <si>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</si>
  <si>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</si>
  <si>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</si>
  <si>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</si>
  <si>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</si>
  <si>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</si>
  <si>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</si>
  <si>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</si>
  <si>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</si>
  <si>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</si>
  <si>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</si>
  <si>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</si>
  <si>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</si>
  <si>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</si>
  <si>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</si>
  <si>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</si>
  <si>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</si>
  <si>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</si>
  <si>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</si>
  <si>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</si>
  <si>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</si>
  <si>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</si>
  <si>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</si>
  <si>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</si>
  <si>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</si>
  <si>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</si>
  <si>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</si>
  <si>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</si>
  <si>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</si>
  <si>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</si>
  <si>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</si>
  <si>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</si>
  <si>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</si>
  <si>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</si>
  <si>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</si>
  <si>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</si>
  <si>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</si>
  <si>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</si>
  <si>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</si>
  <si>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</si>
  <si>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</si>
  <si>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</si>
  <si>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</si>
  <si>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</si>
  <si>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</si>
  <si>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</si>
  <si>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</si>
  <si>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</si>
  <si>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</si>
  <si>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</si>
  <si>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</si>
  <si>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</si>
  <si>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</si>
  <si>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</si>
  <si>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</si>
  <si>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</si>
  <si>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</si>
  <si>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</si>
  <si>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</si>
  <si>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</si>
  <si>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</si>
  <si>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</si>
  <si>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</si>
  <si>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</si>
  <si>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</si>
  <si>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</si>
  <si>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</si>
  <si>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</si>
  <si>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</si>
  <si>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</si>
  <si>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</si>
  <si>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</si>
  <si>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</si>
  <si>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</si>
  <si>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</si>
  <si>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</si>
  <si>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</si>
  <si>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</si>
  <si>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</si>
  <si>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</si>
  <si>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</si>
  <si>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</si>
  <si>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</si>
  <si>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</si>
  <si>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</si>
  <si>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</si>
  <si>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</si>
  <si>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</si>
  <si>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</si>
  <si>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</si>
  <si>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</si>
  <si>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</si>
  <si>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</si>
  <si>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</si>
  <si>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</si>
  <si>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</si>
  <si>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</si>
  <si>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</si>
  <si>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</si>
  <si>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</si>
  <si>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</si>
  <si>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</si>
  <si>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</si>
  <si>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</si>
  <si>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</si>
  <si>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</si>
  <si>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</si>
  <si>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</si>
  <si>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</si>
  <si>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</si>
  <si>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</si>
  <si>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</si>
  <si>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</si>
  <si>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</si>
  <si>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</si>
  <si>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</si>
  <si>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</si>
  <si>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</si>
  <si>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</si>
  <si>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</si>
  <si>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</si>
  <si>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</si>
  <si>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</si>
  <si>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</si>
  <si>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</si>
  <si>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</si>
  <si>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</si>
  <si>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</si>
  <si>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</si>
  <si>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</si>
  <si>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</si>
  <si>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</si>
  <si>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</si>
  <si>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</si>
  <si>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</si>
  <si>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</si>
  <si>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</si>
  <si>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</si>
  <si>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</si>
  <si>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</si>
  <si>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</si>
  <si>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</si>
  <si>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</si>
  <si>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</si>
  <si>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</si>
  <si>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</si>
  <si>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</si>
  <si>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</si>
  <si>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</si>
  <si>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</si>
  <si>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</si>
  <si>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</si>
  <si>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</si>
  <si>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</si>
  <si>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</si>
  <si>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</si>
  <si>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</si>
  <si>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</si>
  <si>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</si>
  <si>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</si>
  <si>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</si>
  <si>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</si>
  <si>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</si>
  <si>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</si>
  <si>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</si>
  <si>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</si>
  <si>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</si>
  <si>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</si>
  <si>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</si>
  <si>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</si>
  <si>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</si>
  <si>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</si>
  <si>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</si>
  <si>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</si>
  <si>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</si>
  <si>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</si>
  <si>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</si>
  <si>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</si>
  <si>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</si>
  <si>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</si>
  <si>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</si>
  <si>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</si>
  <si>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</si>
  <si>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</si>
  <si>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</si>
  <si>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</si>
  <si>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</si>
  <si>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</si>
  <si>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</si>
  <si>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</si>
  <si>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</si>
  <si>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</si>
  <si>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</si>
  <si>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</si>
  <si>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</si>
  <si>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</si>
  <si>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</si>
  <si>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</si>
  <si>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</si>
  <si>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</si>
  <si>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</si>
  <si>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</si>
  <si>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</si>
  <si>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</si>
  <si>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</si>
  <si>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</si>
  <si>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</si>
  <si>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</si>
  <si>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</si>
  <si>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</si>
  <si>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</si>
  <si>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</si>
  <si>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</si>
  <si>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</si>
  <si>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</si>
  <si>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</si>
  <si>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</si>
  <si>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</si>
  <si>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</si>
  <si>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</si>
  <si>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</si>
  <si>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</si>
  <si>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</si>
  <si>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</si>
  <si>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</si>
  <si>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</si>
  <si>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</si>
  <si>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</si>
  <si>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</si>
  <si>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</si>
  <si>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</si>
  <si>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</si>
  <si>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</si>
  <si>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</si>
  <si>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</si>
  <si>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</si>
  <si>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</si>
  <si>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</si>
  <si>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</si>
  <si>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</si>
  <si>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</si>
  <si>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</si>
  <si>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</si>
  <si>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</si>
  <si>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</si>
  <si>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</si>
  <si>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</si>
  <si>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</si>
  <si>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</si>
  <si>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</si>
  <si>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</si>
  <si>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</si>
  <si>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</si>
  <si>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</si>
  <si>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</si>
  <si>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</si>
  <si>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</si>
  <si>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</si>
  <si>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</si>
  <si>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</si>
  <si>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</si>
  <si>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</si>
  <si>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</si>
  <si>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</si>
  <si>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</si>
  <si>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</si>
  <si>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</si>
  <si>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</si>
  <si>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</si>
  <si>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</si>
  <si>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</si>
  <si>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</si>
  <si>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</si>
  <si>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</si>
  <si>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</si>
  <si>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</si>
  <si>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</si>
  <si>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</si>
  <si>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</si>
  <si>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</si>
  <si>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</si>
  <si>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</si>
  <si>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</si>
  <si>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</si>
  <si>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</si>
  <si>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</si>
  <si>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</si>
  <si>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</si>
  <si>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</si>
  <si>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</si>
  <si>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</si>
  <si>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</si>
  <si>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</si>
  <si>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</si>
  <si>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</si>
  <si>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</si>
  <si>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</si>
  <si>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</si>
  <si>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</si>
  <si>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</si>
  <si>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</si>
  <si>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</si>
  <si>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</si>
  <si>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</si>
  <si>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</si>
  <si>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</si>
  <si>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</si>
  <si>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</si>
  <si>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</si>
  <si>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</si>
  <si>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</si>
  <si>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</si>
  <si>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</si>
  <si>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</si>
  <si>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</si>
  <si>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</si>
  <si>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</si>
  <si>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</si>
  <si>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</si>
  <si>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</si>
  <si>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</si>
  <si>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</si>
  <si>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</si>
  <si>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</si>
  <si>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</si>
  <si>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</si>
  <si>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</si>
  <si>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</si>
  <si>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</si>
  <si>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</si>
  <si>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</si>
  <si>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</si>
  <si>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</si>
  <si>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</si>
  <si>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</si>
  <si>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</si>
  <si>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</si>
  <si>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</si>
  <si>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</si>
  <si>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</si>
  <si>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</si>
  <si>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</si>
  <si>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</si>
  <si>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</si>
  <si>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</si>
  <si>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</si>
  <si>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</si>
  <si>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</si>
  <si>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</si>
  <si>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</si>
  <si>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</si>
  <si>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</si>
  <si>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</si>
  <si>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</si>
  <si>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</si>
  <si>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</si>
  <si>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</si>
  <si>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</si>
  <si>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</si>
  <si>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</si>
  <si>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</si>
  <si>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</si>
  <si>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</si>
  <si>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</si>
  <si>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</si>
  <si>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</si>
  <si>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</si>
  <si>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</si>
  <si>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</si>
  <si>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</si>
  <si>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</si>
  <si>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</si>
  <si>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</si>
  <si>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</si>
  <si>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</si>
  <si>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</si>
  <si>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</si>
  <si>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</si>
  <si>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</si>
  <si>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</si>
  <si>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</si>
  <si>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</si>
  <si>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</si>
  <si>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</si>
  <si>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</si>
  <si>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</si>
  <si>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</si>
  <si>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</si>
  <si>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Euskirchen</t>
  </si>
  <si>
    <t>Hubertus Beeke-Lentzen</t>
  </si>
  <si>
    <t>02251/708153</t>
  </si>
  <si>
    <t>NCHN007001130000</t>
  </si>
  <si>
    <t>Kall-Sistig</t>
  </si>
  <si>
    <t>DE_HMF04</t>
  </si>
  <si>
    <t>DE_HEF04</t>
  </si>
  <si>
    <t>DE_GMK04</t>
  </si>
  <si>
    <t>DE_GHA04</t>
  </si>
  <si>
    <t>DE_GBD04</t>
  </si>
  <si>
    <t>DE_GGA04</t>
  </si>
  <si>
    <t>DE_GBH04</t>
  </si>
  <si>
    <t>DE_GWA04</t>
  </si>
  <si>
    <t>DE_GHD04</t>
  </si>
  <si>
    <t>DE_GGB04</t>
  </si>
  <si>
    <t>DE_GPD04</t>
  </si>
  <si>
    <t>DE_GKO04</t>
  </si>
  <si>
    <t>e-regio GmbH &amp; Co. KG</t>
  </si>
  <si>
    <t>Rheinbacher Weg 10</t>
  </si>
  <si>
    <t>netzmanagement@e-regio.de</t>
  </si>
  <si>
    <t>e-regio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</si>
</sst>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1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77" fillId="33" borderId="17" xfId="152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1593489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363379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management@e-regio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42461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507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508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262</v>
      </c>
      <c r="D9" s="41" t="s">
        <v>675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9">
        <v>987011300009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263</v>
      </c>
      <c r="D13" s="41" t="s">
        <v>676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264</v>
      </c>
      <c r="D15" s="43">
        <v>53881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265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266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267</v>
      </c>
      <c r="D21" s="357" t="s">
        <v>677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268</v>
      </c>
      <c r="D23" s="41" t="s">
        <v>660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506</v>
      </c>
      <c r="D28" s="47" t="str">
        <f>IF(D27&lt;&gt;C28,VLOOKUP(D27,$C$29:$D$48,2,FALSE),C28)</f>
        <v>e-regio</v>
      </c>
      <c r="E28" s="38"/>
      <c r="F28" s="11"/>
      <c r="G28" s="2"/>
    </row>
    <row r="29" spans="1:15">
      <c r="B29" s="15"/>
      <c r="C29" s="22" t="s">
        <v>397</v>
      </c>
      <c r="D29" s="44" t="s">
        <v>678</v>
      </c>
      <c r="E29" s="40"/>
      <c r="F29" s="11"/>
      <c r="G29" s="2"/>
    </row>
    <row r="30" spans="1:15">
      <c r="B30" s="15"/>
      <c r="C30" s="22" t="s">
        <v>398</v>
      </c>
      <c r="D30" s="44"/>
      <c r="E30" s="40"/>
      <c r="F30" s="46"/>
      <c r="G30" s="2"/>
    </row>
    <row r="31" spans="1:15">
      <c r="B31" s="15"/>
      <c r="C31" s="22" t="s">
        <v>423</v>
      </c>
      <c r="D31" s="45"/>
      <c r="E31" s="40"/>
      <c r="F31" s="46"/>
      <c r="G31" s="2"/>
    </row>
    <row r="32" spans="1:15">
      <c r="B32" s="15"/>
      <c r="C32" s="22" t="s">
        <v>424</v>
      </c>
      <c r="D32" s="45"/>
      <c r="E32" s="40"/>
      <c r="F32" s="46"/>
      <c r="G32" s="2"/>
    </row>
    <row r="33" spans="2:7">
      <c r="B33" s="15"/>
      <c r="C33" s="22" t="s">
        <v>425</v>
      </c>
      <c r="D33" s="44"/>
      <c r="E33" s="40"/>
      <c r="F33" s="46"/>
      <c r="G33" s="2"/>
    </row>
    <row r="34" spans="2:7">
      <c r="B34" s="15"/>
      <c r="C34" s="22" t="s">
        <v>426</v>
      </c>
      <c r="D34" s="45"/>
      <c r="E34" s="40"/>
      <c r="F34" s="46"/>
      <c r="G34" s="2"/>
    </row>
    <row r="35" spans="2:7">
      <c r="B35" s="15"/>
      <c r="C35" s="22" t="s">
        <v>427</v>
      </c>
      <c r="D35" s="45"/>
      <c r="E35" s="40"/>
      <c r="F35" s="46"/>
      <c r="G35" s="2"/>
    </row>
    <row r="36" spans="2:7">
      <c r="B36" s="15"/>
      <c r="C36" s="22" t="s">
        <v>428</v>
      </c>
      <c r="D36" s="45"/>
      <c r="E36" s="40"/>
      <c r="F36" s="46"/>
      <c r="G36" s="2"/>
    </row>
    <row r="37" spans="2:7">
      <c r="B37" s="15"/>
      <c r="C37" s="22" t="s">
        <v>429</v>
      </c>
      <c r="D37" s="45"/>
      <c r="E37" s="40"/>
      <c r="F37" s="46"/>
      <c r="G37" s="2"/>
    </row>
    <row r="38" spans="2:7">
      <c r="B38" s="15"/>
      <c r="C38" s="22" t="s">
        <v>435</v>
      </c>
      <c r="D38" s="45"/>
      <c r="E38" s="40"/>
      <c r="F38" s="46"/>
      <c r="G38" s="2"/>
    </row>
    <row r="39" spans="2:7">
      <c r="B39" s="15"/>
      <c r="C39" s="22" t="s">
        <v>436</v>
      </c>
      <c r="D39" s="45"/>
      <c r="E39" s="40"/>
      <c r="F39" s="46"/>
      <c r="G39" s="2"/>
    </row>
    <row r="40" spans="2:7">
      <c r="B40" s="15"/>
      <c r="C40" s="22" t="s">
        <v>437</v>
      </c>
      <c r="D40" s="45"/>
      <c r="E40" s="40"/>
      <c r="F40" s="46"/>
      <c r="G40" s="2"/>
    </row>
    <row r="41" spans="2:7">
      <c r="B41" s="15"/>
      <c r="C41" s="22" t="s">
        <v>438</v>
      </c>
      <c r="D41" s="45"/>
      <c r="E41" s="40"/>
      <c r="F41" s="46"/>
      <c r="G41" s="2"/>
    </row>
    <row r="42" spans="2:7">
      <c r="B42" s="15"/>
      <c r="C42" s="22" t="s">
        <v>439</v>
      </c>
      <c r="D42" s="45"/>
      <c r="E42" s="40"/>
      <c r="F42" s="46"/>
      <c r="G42" s="2"/>
    </row>
    <row r="43" spans="2:7">
      <c r="B43" s="15"/>
      <c r="C43" s="22" t="s">
        <v>440</v>
      </c>
      <c r="D43" s="45"/>
      <c r="E43" s="40"/>
      <c r="F43" s="46"/>
      <c r="G43" s="2"/>
    </row>
    <row r="44" spans="2:7">
      <c r="B44" s="15"/>
      <c r="C44" s="22" t="s">
        <v>441</v>
      </c>
      <c r="D44" s="45"/>
      <c r="E44" s="40"/>
      <c r="F44" s="46"/>
      <c r="G44" s="2"/>
    </row>
    <row r="45" spans="2:7">
      <c r="B45" s="15"/>
      <c r="C45" s="22" t="s">
        <v>442</v>
      </c>
      <c r="D45" s="45"/>
      <c r="E45" s="40"/>
      <c r="F45" s="46"/>
      <c r="G45" s="2"/>
    </row>
    <row r="46" spans="2:7">
      <c r="B46" s="15"/>
      <c r="C46" s="22" t="s">
        <v>443</v>
      </c>
      <c r="D46" s="45"/>
      <c r="E46" s="40"/>
      <c r="F46" s="46"/>
    </row>
    <row r="47" spans="2:7">
      <c r="B47" s="15"/>
      <c r="C47" s="22" t="s">
        <v>444</v>
      </c>
      <c r="D47" s="45"/>
      <c r="E47" s="40"/>
      <c r="F47" s="46"/>
    </row>
    <row r="48" spans="2:7">
      <c r="B48" s="15"/>
      <c r="C48" s="22" t="s">
        <v>445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5" sqref="D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449</v>
      </c>
      <c r="D5" s="57" t="str">
        <f>Netzbetreiber!$D$9</f>
        <v>e-regio GmbH &amp; Co. KG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7" t="str">
        <f>Netzbetreiber!D28</f>
        <v>e-regio</v>
      </c>
      <c r="E6" s="15"/>
      <c r="H6" s="67"/>
      <c r="I6" s="67"/>
      <c r="J6" s="67"/>
      <c r="K6" s="67"/>
    </row>
    <row r="7" spans="2:15" ht="15" customHeight="1">
      <c r="B7" s="22"/>
      <c r="C7" s="59" t="s">
        <v>492</v>
      </c>
      <c r="D7" s="340">
        <f>Netzbetreiber!$D$11</f>
        <v>987011300009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434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8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8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12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7"/>
      <c r="I40" s="67"/>
      <c r="J40" s="67"/>
      <c r="K40" s="67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59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4" t="s">
        <v>662</v>
      </c>
    </row>
    <row r="49" spans="3:4" ht="18" customHeight="1">
      <c r="C49" s="22" t="s">
        <v>594</v>
      </c>
      <c r="D49" s="44"/>
    </row>
    <row r="50" spans="3:4" ht="18" customHeight="1">
      <c r="C50" s="22" t="s">
        <v>595</v>
      </c>
      <c r="D50" s="44"/>
    </row>
    <row r="51" spans="3:4" ht="18" customHeight="1">
      <c r="C51" s="22" t="s">
        <v>596</v>
      </c>
      <c r="D51" s="44"/>
    </row>
    <row r="52" spans="3:4" ht="18" customHeight="1">
      <c r="C52" s="22" t="s">
        <v>597</v>
      </c>
      <c r="D52" s="44"/>
    </row>
    <row r="53" spans="3:4" ht="18" customHeight="1">
      <c r="C53" s="22" t="s">
        <v>598</v>
      </c>
      <c r="D53" s="44"/>
    </row>
    <row r="54" spans="3:4" ht="18" customHeight="1">
      <c r="C54" s="22" t="s">
        <v>599</v>
      </c>
      <c r="D54" s="44"/>
    </row>
    <row r="55" spans="3:4" ht="18" customHeight="1">
      <c r="C55" s="22" t="s">
        <v>600</v>
      </c>
      <c r="D55" s="44"/>
    </row>
    <row r="56" spans="3:4" ht="18" customHeight="1">
      <c r="C56" s="22" t="s">
        <v>601</v>
      </c>
      <c r="D56" s="44"/>
    </row>
    <row r="57" spans="3:4" ht="18" customHeight="1">
      <c r="C57" s="22" t="s">
        <v>602</v>
      </c>
      <c r="D57" s="44"/>
    </row>
    <row r="58" spans="3:4" ht="18" customHeight="1">
      <c r="C58" s="22" t="s">
        <v>603</v>
      </c>
      <c r="D58" s="44"/>
    </row>
    <row r="59" spans="3:4" ht="18" customHeight="1">
      <c r="C59" s="22" t="s">
        <v>604</v>
      </c>
      <c r="D59" s="44"/>
    </row>
    <row r="60" spans="3:4" ht="18" customHeight="1">
      <c r="C60" s="22" t="s">
        <v>605</v>
      </c>
      <c r="D60" s="44"/>
    </row>
    <row r="61" spans="3:4" ht="18" customHeight="1">
      <c r="C61" s="22" t="s">
        <v>606</v>
      </c>
      <c r="D61" s="44"/>
    </row>
    <row r="62" spans="3:4" ht="18" customHeight="1">
      <c r="C62" s="22" t="s">
        <v>607</v>
      </c>
      <c r="D62" s="44"/>
    </row>
  </sheetData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5" sqref="E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39.5703125" style="128" customWidth="1"/>
    <col min="6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675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e-regio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340">
        <v>987011300009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529</v>
      </c>
      <c r="D9" s="130"/>
      <c r="E9" s="130"/>
      <c r="F9" s="154">
        <f>'SLP-Verfahren'!D46</f>
        <v>1</v>
      </c>
      <c r="H9" s="172" t="s">
        <v>608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592</v>
      </c>
      <c r="D10" s="130"/>
      <c r="E10" s="130"/>
      <c r="F10" s="299">
        <v>1</v>
      </c>
      <c r="G10" s="56"/>
      <c r="H10" s="172" t="s">
        <v>609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610</v>
      </c>
      <c r="D11" s="130"/>
      <c r="E11" s="130"/>
      <c r="F11" s="296" t="str">
        <f>INDEX('SLP-Verfahren'!D48:D62,'SLP-Temp-Gebiet Kall-Sistig'!F10)</f>
        <v>Kall-Sistig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591</v>
      </c>
      <c r="D13" s="342"/>
      <c r="E13" s="342"/>
      <c r="F13" s="183" t="s">
        <v>555</v>
      </c>
      <c r="G13" s="130" t="s">
        <v>553</v>
      </c>
      <c r="H13" s="265" t="s">
        <v>570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452</v>
      </c>
      <c r="D14" s="343"/>
      <c r="E14" s="89" t="s">
        <v>453</v>
      </c>
      <c r="F14" s="266" t="s">
        <v>85</v>
      </c>
      <c r="G14" s="267" t="s">
        <v>579</v>
      </c>
      <c r="H14" s="50">
        <v>0</v>
      </c>
      <c r="I14" s="56"/>
      <c r="J14" s="130"/>
      <c r="K14" s="130"/>
      <c r="L14" s="130"/>
      <c r="M14" s="130"/>
      <c r="N14" s="130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0"/>
      <c r="C15" s="343" t="s">
        <v>389</v>
      </c>
      <c r="D15" s="343"/>
      <c r="E15" s="89" t="s">
        <v>453</v>
      </c>
      <c r="F15" s="266" t="s">
        <v>71</v>
      </c>
      <c r="G15" s="267" t="s">
        <v>573</v>
      </c>
      <c r="H15" s="50">
        <v>0</v>
      </c>
      <c r="I15" s="56"/>
      <c r="J15" s="130"/>
      <c r="K15" s="130"/>
      <c r="L15" s="130"/>
      <c r="M15" s="130"/>
      <c r="N15" s="130"/>
      <c r="O15" s="161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524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530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532</v>
      </c>
      <c r="D21" s="153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509</v>
      </c>
      <c r="F23" s="156" t="s">
        <v>509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527</v>
      </c>
      <c r="D24" s="188"/>
      <c r="E24" s="156" t="s">
        <v>662</v>
      </c>
      <c r="F24" s="156" t="s">
        <v>589</v>
      </c>
      <c r="G24" s="156"/>
      <c r="H24" s="156"/>
      <c r="I24" s="156"/>
      <c r="J24" s="156"/>
      <c r="K24" s="156"/>
      <c r="L24" s="156"/>
      <c r="M24" s="156"/>
      <c r="N24" s="156"/>
      <c r="O24" s="185" t="s">
        <v>528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>
        <v>191169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526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533</v>
      </c>
      <c r="D31" s="186" t="s">
        <v>255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540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612</v>
      </c>
      <c r="D35" s="153" t="s">
        <v>613</v>
      </c>
      <c r="E35" s="156" t="s">
        <v>611</v>
      </c>
      <c r="F35" s="156" t="s">
        <v>611</v>
      </c>
      <c r="G35" s="156" t="s">
        <v>611</v>
      </c>
      <c r="H35" s="156" t="s">
        <v>611</v>
      </c>
      <c r="I35" s="156" t="s">
        <v>611</v>
      </c>
      <c r="J35" s="156" t="s">
        <v>611</v>
      </c>
      <c r="K35" s="156" t="s">
        <v>611</v>
      </c>
      <c r="L35" s="156" t="s">
        <v>611</v>
      </c>
      <c r="M35" s="156" t="s">
        <v>611</v>
      </c>
      <c r="N35" s="156" t="s">
        <v>611</v>
      </c>
      <c r="O35" s="185" t="s">
        <v>142</v>
      </c>
      <c r="Q35" s="211"/>
      <c r="R35" s="67" t="s">
        <v>611</v>
      </c>
      <c r="S35" s="67" t="s">
        <v>614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545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586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550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532</v>
      </c>
      <c r="D55" s="153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MeteoGroup</v>
      </c>
      <c r="F57" s="156" t="str">
        <f t="shared" ref="F57:N57" si="7">F23</f>
        <v>MeteoGroup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527</v>
      </c>
      <c r="D58" s="188"/>
      <c r="E58" s="156" t="str">
        <f>E24</f>
        <v>Kall-Sistig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528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>
        <f>E25</f>
        <v>191169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526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1</v>
      </c>
      <c r="F65" s="287">
        <f>ROUND(F66/$D$66,4)</f>
        <v>0.5</v>
      </c>
      <c r="G65" s="287">
        <f t="shared" ref="G65:N65" si="12">ROUND(G66/$D$66,4)</f>
        <v>0.25</v>
      </c>
      <c r="H65" s="287">
        <f t="shared" si="12"/>
        <v>0.125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612</v>
      </c>
      <c r="D69" s="153" t="s">
        <v>613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19" t="s">
        <v>545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44" t="s">
        <v>587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491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e-regio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529</v>
      </c>
      <c r="D9" s="130"/>
      <c r="E9" s="130"/>
      <c r="F9" s="154">
        <f>'SLP-Verfahren'!D46</f>
        <v>1</v>
      </c>
      <c r="H9" s="172" t="s">
        <v>608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592</v>
      </c>
      <c r="D10" s="130"/>
      <c r="E10" s="130"/>
      <c r="F10" s="299">
        <v>2</v>
      </c>
      <c r="G10" s="56"/>
      <c r="H10" s="172" t="s">
        <v>609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610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591</v>
      </c>
      <c r="D13" s="342"/>
      <c r="E13" s="342"/>
      <c r="F13" s="183" t="s">
        <v>555</v>
      </c>
      <c r="G13" s="130" t="s">
        <v>553</v>
      </c>
      <c r="H13" s="265" t="s">
        <v>570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452</v>
      </c>
      <c r="D14" s="343"/>
      <c r="E14" s="89" t="s">
        <v>453</v>
      </c>
      <c r="F14" s="266" t="s">
        <v>85</v>
      </c>
      <c r="G14" s="267" t="s">
        <v>579</v>
      </c>
      <c r="H14" s="50">
        <v>0</v>
      </c>
      <c r="I14" s="56"/>
      <c r="J14" s="130"/>
      <c r="K14" s="130"/>
      <c r="L14" s="130"/>
      <c r="M14" s="130"/>
      <c r="N14" s="130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0"/>
      <c r="C15" s="343" t="s">
        <v>389</v>
      </c>
      <c r="D15" s="343"/>
      <c r="E15" s="89" t="s">
        <v>453</v>
      </c>
      <c r="F15" s="266" t="s">
        <v>71</v>
      </c>
      <c r="G15" s="267" t="s">
        <v>573</v>
      </c>
      <c r="H15" s="50">
        <v>0</v>
      </c>
      <c r="I15" s="56"/>
      <c r="J15" s="130"/>
      <c r="K15" s="130"/>
      <c r="L15" s="130"/>
      <c r="M15" s="130"/>
      <c r="N15" s="130"/>
      <c r="O15" s="161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524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530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532</v>
      </c>
      <c r="D21" s="153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527</v>
      </c>
      <c r="D24" s="188"/>
      <c r="E24" s="156" t="s">
        <v>588</v>
      </c>
      <c r="F24" s="156" t="s">
        <v>589</v>
      </c>
      <c r="G24" s="156"/>
      <c r="H24" s="156"/>
      <c r="I24" s="156"/>
      <c r="J24" s="156"/>
      <c r="K24" s="156"/>
      <c r="L24" s="156"/>
      <c r="M24" s="156"/>
      <c r="N24" s="156"/>
      <c r="O24" s="185" t="s">
        <v>528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526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612</v>
      </c>
      <c r="D35" s="153" t="s">
        <v>613</v>
      </c>
      <c r="E35" s="156" t="s">
        <v>611</v>
      </c>
      <c r="F35" s="156" t="s">
        <v>611</v>
      </c>
      <c r="G35" s="156" t="s">
        <v>611</v>
      </c>
      <c r="H35" s="156" t="s">
        <v>611</v>
      </c>
      <c r="I35" s="156" t="s">
        <v>611</v>
      </c>
      <c r="J35" s="156" t="s">
        <v>611</v>
      </c>
      <c r="K35" s="156" t="s">
        <v>611</v>
      </c>
      <c r="L35" s="156" t="s">
        <v>611</v>
      </c>
      <c r="M35" s="156" t="s">
        <v>611</v>
      </c>
      <c r="N35" s="156" t="s">
        <v>611</v>
      </c>
      <c r="O35" s="185" t="s">
        <v>142</v>
      </c>
      <c r="Q35" s="211"/>
      <c r="R35" s="67" t="s">
        <v>611</v>
      </c>
      <c r="S35" s="67" t="s">
        <v>614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545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586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550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532</v>
      </c>
      <c r="D55" s="153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527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528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526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612</v>
      </c>
      <c r="D69" s="153" t="s">
        <v>613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19" t="s">
        <v>545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44" t="s">
        <v>587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25" sqref="D2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5.2851562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371</v>
      </c>
      <c r="D5" s="53" t="str">
        <f>Netzbetreiber!$D$9</f>
        <v>e-regio GmbH &amp; Co. KG</v>
      </c>
      <c r="E5" s="130"/>
      <c r="H5" s="88" t="s">
        <v>502</v>
      </c>
      <c r="I5" s="131" t="s">
        <v>505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338</v>
      </c>
      <c r="D6" s="53" t="str">
        <f>Netzbetreiber!$D$28</f>
        <v>e-regio</v>
      </c>
      <c r="E6" s="130"/>
      <c r="F6" s="130"/>
      <c r="I6" s="131" t="s">
        <v>515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492</v>
      </c>
      <c r="D7" s="341">
        <f>Netzbetreiber!$D$11</f>
        <v>987011300009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42278</v>
      </c>
      <c r="E8" s="130"/>
      <c r="F8" s="130"/>
      <c r="H8" s="128" t="s">
        <v>500</v>
      </c>
      <c r="J8" s="132"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499</v>
      </c>
      <c r="D10" s="134" t="s">
        <v>147</v>
      </c>
      <c r="E10" s="277" t="s">
        <v>517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642</v>
      </c>
      <c r="M10" s="150" t="s">
        <v>651</v>
      </c>
      <c r="N10" s="151" t="s">
        <v>652</v>
      </c>
      <c r="O10" s="151" t="s">
        <v>653</v>
      </c>
      <c r="P10" s="152" t="s">
        <v>654</v>
      </c>
      <c r="Q10" s="146" t="s">
        <v>643</v>
      </c>
      <c r="R10" s="136" t="s">
        <v>644</v>
      </c>
      <c r="S10" s="137" t="s">
        <v>645</v>
      </c>
      <c r="T10" s="137" t="s">
        <v>646</v>
      </c>
      <c r="U10" s="137" t="s">
        <v>647</v>
      </c>
      <c r="V10" s="137" t="s">
        <v>648</v>
      </c>
      <c r="W10" s="137" t="s">
        <v>649</v>
      </c>
      <c r="X10" s="138" t="s">
        <v>650</v>
      </c>
      <c r="Y10" s="305" t="s">
        <v>655</v>
      </c>
    </row>
    <row r="11" spans="2:26" ht="15.75" thickBot="1">
      <c r="B11" s="139" t="s">
        <v>501</v>
      </c>
      <c r="C11" s="140" t="s">
        <v>516</v>
      </c>
      <c r="D11" s="304" t="s">
        <v>248</v>
      </c>
      <c r="E11" s="164" t="s">
        <v>674</v>
      </c>
      <c r="F11" s="306" t="str">
        <f>VLOOKUP($E11,'BDEW-Standard'!$B$3:$M$158,F$9,0)</f>
        <v>KO4</v>
      </c>
      <c r="H11" s="167">
        <f>ROUND(VLOOKUP($E11,'BDEW-Standard'!$B$3:$M$158,H$9,0),7)</f>
        <v>3.4428942999999999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7.4685000000000001E-2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0.97768382110526542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e-regio</v>
      </c>
      <c r="D12" s="62" t="s">
        <v>248</v>
      </c>
      <c r="E12" s="165" t="s">
        <v>663</v>
      </c>
      <c r="F12" s="307" t="str">
        <f>VLOOKUP($E12,'BDEW-Standard'!$B$3:$M$94,F$9,0)</f>
        <v>D24</v>
      </c>
      <c r="H12" s="278">
        <f>ROUND(VLOOKUP($E12,'BDEW-Standard'!$B$3:$M$94,H$9,0),7)</f>
        <v>2.5187775000000001</v>
      </c>
      <c r="I12" s="278">
        <f>ROUND(VLOOKUP($E12,'BDEW-Standard'!$B$3:$M$94,I$9,0),7)</f>
        <v>-35.033375399999997</v>
      </c>
      <c r="J12" s="278">
        <f>ROUND(VLOOKUP($E12,'BDEW-Standard'!$B$3:$M$94,J$9,0),7)</f>
        <v>6.2240634000000004</v>
      </c>
      <c r="K12" s="278">
        <f>ROUND(VLOOKUP($E12,'BDEW-Standard'!$B$3:$M$94,K$9,0),7)</f>
        <v>0.10107820000000001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4" si="1">($H12/(1+($I12/($Q$9-$L12))^$J12)+$K12)+MAX($M12*$Q$9+$N12,$O12*$Q$9+$P12)</f>
        <v>1.0146273685996503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e-regio</v>
      </c>
      <c r="D13" s="62" t="s">
        <v>248</v>
      </c>
      <c r="E13" s="165" t="s">
        <v>664</v>
      </c>
      <c r="F13" s="307" t="str">
        <f>VLOOKUP($E13,'BDEW-Standard'!$B$3:$M$94,F$9,0)</f>
        <v>D14</v>
      </c>
      <c r="H13" s="278">
        <f>ROUND(VLOOKUP($E13,'BDEW-Standard'!$B$3:$M$94,H$9,0),7)</f>
        <v>3.1850190999999999</v>
      </c>
      <c r="I13" s="278">
        <f>ROUND(VLOOKUP($E13,'BDEW-Standard'!$B$3:$M$94,I$9,0),7)</f>
        <v>-37.412415500000002</v>
      </c>
      <c r="J13" s="278">
        <f>ROUND(VLOOKUP($E13,'BDEW-Standard'!$B$3:$M$94,J$9,0),7)</f>
        <v>6.1723179000000004</v>
      </c>
      <c r="K13" s="278">
        <f>ROUND(VLOOKUP($E13,'BDEW-Standard'!$B$3:$M$94,K$9,0),7)</f>
        <v>7.6109599999999999E-2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0.95508749343949439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4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e-regio</v>
      </c>
      <c r="D14" s="62" t="s">
        <v>248</v>
      </c>
      <c r="E14" s="165" t="s">
        <v>4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e-regio</v>
      </c>
      <c r="D15" s="62" t="s">
        <v>248</v>
      </c>
      <c r="E15" s="165" t="s">
        <v>665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e-regio</v>
      </c>
      <c r="D16" s="62" t="s">
        <v>248</v>
      </c>
      <c r="E16" s="165" t="s">
        <v>666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e-regio</v>
      </c>
      <c r="D17" s="62" t="s">
        <v>248</v>
      </c>
      <c r="E17" s="165" t="s">
        <v>523</v>
      </c>
      <c r="F17" s="307" t="str">
        <f>VLOOKUP($E17,'BDEW-Standard'!$B$3:$M$94,F$9,0)</f>
        <v>OK4</v>
      </c>
      <c r="H17" s="278">
        <f>ROUND(VLOOKUP($E17,'BDEW-Standard'!$B$3:$M$94,H$9,0),7)</f>
        <v>1.4256683999999999</v>
      </c>
      <c r="I17" s="278">
        <f>ROUND(VLOOKUP($E17,'BDEW-Standard'!$B$3:$M$94,I$9,0),7)</f>
        <v>-36.659050399999998</v>
      </c>
      <c r="J17" s="278">
        <f>ROUND(VLOOKUP($E17,'BDEW-Standard'!$B$3:$M$94,J$9,0),7)</f>
        <v>7.6083226000000002</v>
      </c>
      <c r="K17" s="278">
        <f>ROUND(VLOOKUP($E17,'BDEW-Standard'!$B$3:$M$94,K$9,0),7)</f>
        <v>3.7111600000000002E-2</v>
      </c>
      <c r="L17" s="279">
        <f>ROUND(VLOOKUP($E17,'BDEW-Standard'!$B$3:$M$94,L$9,0),1)</f>
        <v>40</v>
      </c>
      <c r="M17" s="278">
        <f>ROUND(VLOOKUP($E17,'BDEW-Standard'!$B$3:$M$94,M$9,0),7)</f>
        <v>-8.0935900000000005E-2</v>
      </c>
      <c r="N17" s="278">
        <f>ROUND(VLOOKUP($E17,'BDEW-Standard'!$B$3:$M$94,N$9,0),7)</f>
        <v>1.2364527000000001</v>
      </c>
      <c r="O17" s="278">
        <f>ROUND(VLOOKUP($E17,'BDEW-Standard'!$B$3:$M$94,O$9,0),7)</f>
        <v>-7.628E-4</v>
      </c>
      <c r="P17" s="278">
        <f>ROUND(VLOOKUP($E17,'BDEW-Standard'!$B$3:$M$94,P$9,0),7)</f>
        <v>0.1002979</v>
      </c>
      <c r="Q17" s="280">
        <f t="shared" si="1"/>
        <v>0.99999996033498917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e-regio</v>
      </c>
      <c r="D18" s="62" t="s">
        <v>248</v>
      </c>
      <c r="E18" s="165" t="s">
        <v>667</v>
      </c>
      <c r="F18" s="307" t="str">
        <f>VLOOKUP($E18,'BDEW-Standard'!$B$3:$M$94,F$9,0)</f>
        <v>BD4</v>
      </c>
      <c r="H18" s="278">
        <f>ROUND(VLOOKUP($E18,'BDEW-Standard'!$B$3:$M$94,H$9,0),7)</f>
        <v>3.75</v>
      </c>
      <c r="I18" s="278">
        <f>ROUND(VLOOKUP($E18,'BDEW-Standard'!$B$3:$M$94,I$9,0),7)</f>
        <v>-37.5</v>
      </c>
      <c r="J18" s="278">
        <f>ROUND(VLOOKUP($E18,'BDEW-Standard'!$B$3:$M$94,J$9,0),7)</f>
        <v>6.8</v>
      </c>
      <c r="K18" s="278">
        <f>ROUND(VLOOKUP($E18,'BDEW-Standard'!$B$3:$M$94,K$9,0),7)</f>
        <v>6.0911300000000002E-2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1.0126136468627658</v>
      </c>
      <c r="R18" s="281">
        <f>ROUND(VLOOKUP(MID($E18,4,3),'Wochentag F(WT)'!$B$7:$J$22,R$9,0),4)</f>
        <v>1.1052</v>
      </c>
      <c r="S18" s="281">
        <f>ROUND(VLOOKUP(MID($E18,4,3),'Wochentag F(WT)'!$B$7:$J$22,S$9,0),4)</f>
        <v>1.0857000000000001</v>
      </c>
      <c r="T18" s="281">
        <f>ROUND(VLOOKUP(MID($E18,4,3),'Wochentag F(WT)'!$B$7:$J$22,T$9,0),4)</f>
        <v>1.0378000000000001</v>
      </c>
      <c r="U18" s="281">
        <f>ROUND(VLOOKUP(MID($E18,4,3),'Wochentag F(WT)'!$B$7:$J$22,U$9,0),4)</f>
        <v>1.0622</v>
      </c>
      <c r="V18" s="281">
        <f>ROUND(VLOOKUP(MID($E18,4,3),'Wochentag F(WT)'!$B$7:$J$22,V$9,0),4)</f>
        <v>1.0266</v>
      </c>
      <c r="W18" s="281">
        <f>ROUND(VLOOKUP(MID($E18,4,3),'Wochentag F(WT)'!$B$7:$J$22,W$9,0),4)</f>
        <v>0.76290000000000002</v>
      </c>
      <c r="X18" s="282">
        <f t="shared" si="2"/>
        <v>0.91959999999999997</v>
      </c>
      <c r="Y18" s="303"/>
      <c r="Z18" s="212"/>
    </row>
    <row r="19" spans="2:26" s="143" customFormat="1">
      <c r="B19" s="144">
        <v>8</v>
      </c>
      <c r="C19" s="145" t="str">
        <f t="shared" si="0"/>
        <v>e-regio</v>
      </c>
      <c r="D19" s="62" t="s">
        <v>248</v>
      </c>
      <c r="E19" s="165" t="s">
        <v>668</v>
      </c>
      <c r="F19" s="307" t="str">
        <f>VLOOKUP($E19,'BDEW-Standard'!$B$3:$M$94,F$9,0)</f>
        <v>GA4</v>
      </c>
      <c r="H19" s="278">
        <f>ROUND(VLOOKUP($E19,'BDEW-Standard'!$B$3:$M$94,H$9,0),7)</f>
        <v>2.8195655999999998</v>
      </c>
      <c r="I19" s="278">
        <f>ROUND(VLOOKUP($E19,'BDEW-Standard'!$B$3:$M$94,I$9,0),7)</f>
        <v>-36</v>
      </c>
      <c r="J19" s="278">
        <f>ROUND(VLOOKUP($E19,'BDEW-Standard'!$B$3:$M$94,J$9,0),7)</f>
        <v>7.7368518000000002</v>
      </c>
      <c r="K19" s="278">
        <f>ROUND(VLOOKUP($E19,'BDEW-Standard'!$B$3:$M$94,K$9,0),7)</f>
        <v>0.157281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0.96576337685759206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e-regio</v>
      </c>
      <c r="D20" s="62" t="s">
        <v>248</v>
      </c>
      <c r="E20" s="165" t="s">
        <v>669</v>
      </c>
      <c r="F20" s="307" t="str">
        <f>VLOOKUP($E20,'BDEW-Standard'!$B$3:$M$94,F$9,0)</f>
        <v>BH4</v>
      </c>
      <c r="H20" s="278">
        <f>ROUND(VLOOKUP($E20,'BDEW-Standard'!$B$3:$M$94,H$9,0),7)</f>
        <v>2.4595180999999999</v>
      </c>
      <c r="I20" s="278">
        <f>ROUND(VLOOKUP($E20,'BDEW-Standard'!$B$3:$M$94,I$9,0),7)</f>
        <v>-35.253212400000002</v>
      </c>
      <c r="J20" s="278">
        <f>ROUND(VLOOKUP($E20,'BDEW-Standard'!$B$3:$M$94,J$9,0),7)</f>
        <v>6.0587001000000003</v>
      </c>
      <c r="K20" s="278">
        <f>ROUND(VLOOKUP($E20,'BDEW-Standard'!$B$3:$M$94,K$9,0),7)</f>
        <v>0.16473699999999999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1.043802057143173</v>
      </c>
      <c r="R20" s="281">
        <f>ROUND(VLOOKUP(MID($E20,4,3),'Wochentag F(WT)'!$B$7:$J$22,R$9,0),4)</f>
        <v>0.97670000000000001</v>
      </c>
      <c r="S20" s="281">
        <f>ROUND(VLOOKUP(MID($E20,4,3),'Wochentag F(WT)'!$B$7:$J$22,S$9,0),4)</f>
        <v>1.0388999999999999</v>
      </c>
      <c r="T20" s="281">
        <f>ROUND(VLOOKUP(MID($E20,4,3),'Wochentag F(WT)'!$B$7:$J$22,T$9,0),4)</f>
        <v>1.0027999999999999</v>
      </c>
      <c r="U20" s="281">
        <f>ROUND(VLOOKUP(MID($E20,4,3),'Wochentag F(WT)'!$B$7:$J$22,U$9,0),4)</f>
        <v>1.0162</v>
      </c>
      <c r="V20" s="281">
        <f>ROUND(VLOOKUP(MID($E20,4,3),'Wochentag F(WT)'!$B$7:$J$22,V$9,0),4)</f>
        <v>1.0024</v>
      </c>
      <c r="W20" s="281">
        <f>ROUND(VLOOKUP(MID($E20,4,3),'Wochentag F(WT)'!$B$7:$J$22,W$9,0),4)</f>
        <v>1.0043</v>
      </c>
      <c r="X20" s="282">
        <f t="shared" si="2"/>
        <v>0.95870000000000122</v>
      </c>
      <c r="Y20" s="303"/>
      <c r="Z20" s="212"/>
    </row>
    <row r="21" spans="2:26" s="143" customFormat="1">
      <c r="B21" s="144">
        <v>10</v>
      </c>
      <c r="C21" s="145" t="str">
        <f t="shared" si="0"/>
        <v>e-regio</v>
      </c>
      <c r="D21" s="62" t="s">
        <v>248</v>
      </c>
      <c r="E21" s="165" t="s">
        <v>670</v>
      </c>
      <c r="F21" s="307" t="str">
        <f>VLOOKUP($E21,'BDEW-Standard'!$B$3:$M$94,F$9,0)</f>
        <v>WA4</v>
      </c>
      <c r="H21" s="278">
        <f>ROUND(VLOOKUP($E21,'BDEW-Standard'!$B$3:$M$94,H$9,0),7)</f>
        <v>1.0535874999999999</v>
      </c>
      <c r="I21" s="278">
        <f>ROUND(VLOOKUP($E21,'BDEW-Standard'!$B$3:$M$94,I$9,0),7)</f>
        <v>-35.299999999999997</v>
      </c>
      <c r="J21" s="278">
        <f>ROUND(VLOOKUP($E21,'BDEW-Standard'!$B$3:$M$94,J$9,0),7)</f>
        <v>4.8662747</v>
      </c>
      <c r="K21" s="278">
        <f>ROUND(VLOOKUP($E21,'BDEW-Standard'!$B$3:$M$94,K$9,0),7)</f>
        <v>0.68110420000000005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1.0844348950990992</v>
      </c>
      <c r="R21" s="281">
        <f>ROUND(VLOOKUP(MID($E21,4,3),'Wochentag F(WT)'!$B$7:$J$22,R$9,0),4)</f>
        <v>1.2457</v>
      </c>
      <c r="S21" s="281">
        <f>ROUND(VLOOKUP(MID($E21,4,3),'Wochentag F(WT)'!$B$7:$J$22,S$9,0),4)</f>
        <v>1.2615000000000001</v>
      </c>
      <c r="T21" s="281">
        <f>ROUND(VLOOKUP(MID($E21,4,3),'Wochentag F(WT)'!$B$7:$J$22,T$9,0),4)</f>
        <v>1.2706999999999999</v>
      </c>
      <c r="U21" s="281">
        <f>ROUND(VLOOKUP(MID($E21,4,3),'Wochentag F(WT)'!$B$7:$J$22,U$9,0),4)</f>
        <v>1.2430000000000001</v>
      </c>
      <c r="V21" s="281">
        <f>ROUND(VLOOKUP(MID($E21,4,3),'Wochentag F(WT)'!$B$7:$J$22,V$9,0),4)</f>
        <v>1.1275999999999999</v>
      </c>
      <c r="W21" s="281">
        <f>ROUND(VLOOKUP(MID($E21,4,3),'Wochentag F(WT)'!$B$7:$J$22,W$9,0),4)</f>
        <v>0.38769999999999999</v>
      </c>
      <c r="X21" s="282">
        <f t="shared" si="2"/>
        <v>0.46379999999999999</v>
      </c>
      <c r="Y21" s="303"/>
      <c r="Z21" s="212"/>
    </row>
    <row r="22" spans="2:26" s="143" customFormat="1">
      <c r="B22" s="144">
        <v>11</v>
      </c>
      <c r="C22" s="145" t="str">
        <f t="shared" si="0"/>
        <v>e-regio</v>
      </c>
      <c r="D22" s="62" t="s">
        <v>248</v>
      </c>
      <c r="E22" s="165" t="s">
        <v>671</v>
      </c>
      <c r="F22" s="307" t="str">
        <f>VLOOKUP($E22,'BDEW-Standard'!$B$3:$M$94,F$9,0)</f>
        <v>HD4</v>
      </c>
      <c r="H22" s="278">
        <f>ROUND(VLOOKUP($E22,'BDEW-Standard'!$B$3:$M$94,H$9,0),7)</f>
        <v>3.0084346000000002</v>
      </c>
      <c r="I22" s="278">
        <f>ROUND(VLOOKUP($E22,'BDEW-Standard'!$B$3:$M$94,I$9,0),7)</f>
        <v>-36.607845300000001</v>
      </c>
      <c r="J22" s="278">
        <f>ROUND(VLOOKUP($E22,'BDEW-Standard'!$B$3:$M$94,J$9,0),7)</f>
        <v>7.3211870000000001</v>
      </c>
      <c r="K22" s="278">
        <f>ROUND(VLOOKUP($E22,'BDEW-Standard'!$B$3:$M$94,K$9,0),7)</f>
        <v>0.15496599999999999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0.97302438504000599</v>
      </c>
      <c r="R22" s="281">
        <f>ROUND(VLOOKUP(MID($E22,4,3),'Wochentag F(WT)'!$B$7:$J$22,R$9,0),4)</f>
        <v>1.03</v>
      </c>
      <c r="S22" s="281">
        <f>ROUND(VLOOKUP(MID($E22,4,3),'Wochentag F(WT)'!$B$7:$J$22,S$9,0),4)</f>
        <v>1.03</v>
      </c>
      <c r="T22" s="281">
        <f>ROUND(VLOOKUP(MID($E22,4,3),'Wochentag F(WT)'!$B$7:$J$22,T$9,0),4)</f>
        <v>1.02</v>
      </c>
      <c r="U22" s="281">
        <f>ROUND(VLOOKUP(MID($E22,4,3),'Wochentag F(WT)'!$B$7:$J$22,U$9,0),4)</f>
        <v>1.03</v>
      </c>
      <c r="V22" s="281">
        <f>ROUND(VLOOKUP(MID($E22,4,3),'Wochentag F(WT)'!$B$7:$J$22,V$9,0),4)</f>
        <v>1.01</v>
      </c>
      <c r="W22" s="281">
        <f>ROUND(VLOOKUP(MID($E22,4,3),'Wochentag F(WT)'!$B$7:$J$22,W$9,0),4)</f>
        <v>0.93</v>
      </c>
      <c r="X22" s="282">
        <f t="shared" si="2"/>
        <v>0.95000000000000018</v>
      </c>
      <c r="Y22" s="303"/>
      <c r="Z22" s="212"/>
    </row>
    <row r="23" spans="2:26" s="143" customFormat="1">
      <c r="B23" s="144">
        <v>12</v>
      </c>
      <c r="C23" s="145" t="str">
        <f t="shared" si="0"/>
        <v>e-regio</v>
      </c>
      <c r="D23" s="62" t="s">
        <v>248</v>
      </c>
      <c r="E23" s="165" t="s">
        <v>672</v>
      </c>
      <c r="F23" s="307" t="str">
        <f>VLOOKUP($E23,'BDEW-Standard'!$B$3:$M$94,F$9,0)</f>
        <v>GB4</v>
      </c>
      <c r="H23" s="278">
        <f>ROUND(VLOOKUP($E23,'BDEW-Standard'!$B$3:$M$94,H$9,0),7)</f>
        <v>3.6017736</v>
      </c>
      <c r="I23" s="278">
        <f>ROUND(VLOOKUP($E23,'BDEW-Standard'!$B$3:$M$94,I$9,0),7)</f>
        <v>-37.882536799999997</v>
      </c>
      <c r="J23" s="278">
        <f>ROUND(VLOOKUP($E23,'BDEW-Standard'!$B$3:$M$94,J$9,0),7)</f>
        <v>6.9836070000000001</v>
      </c>
      <c r="K23" s="278">
        <f>ROUND(VLOOKUP($E23,'BDEW-Standard'!$B$3:$M$94,K$9,0),7)</f>
        <v>5.4826199999999999E-2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0.90239375975311864</v>
      </c>
      <c r="R23" s="281">
        <f>ROUND(VLOOKUP(MID($E23,4,3),'Wochentag F(WT)'!$B$7:$J$22,R$9,0),4)</f>
        <v>0.98970000000000002</v>
      </c>
      <c r="S23" s="281">
        <f>ROUND(VLOOKUP(MID($E23,4,3),'Wochentag F(WT)'!$B$7:$J$22,S$9,0),4)</f>
        <v>0.9627</v>
      </c>
      <c r="T23" s="281">
        <f>ROUND(VLOOKUP(MID($E23,4,3),'Wochentag F(WT)'!$B$7:$J$22,T$9,0),4)</f>
        <v>1.0507</v>
      </c>
      <c r="U23" s="281">
        <f>ROUND(VLOOKUP(MID($E23,4,3),'Wochentag F(WT)'!$B$7:$J$22,U$9,0),4)</f>
        <v>1.0551999999999999</v>
      </c>
      <c r="V23" s="281">
        <f>ROUND(VLOOKUP(MID($E23,4,3),'Wochentag F(WT)'!$B$7:$J$22,V$9,0),4)</f>
        <v>1.0297000000000001</v>
      </c>
      <c r="W23" s="281">
        <f>ROUND(VLOOKUP(MID($E23,4,3),'Wochentag F(WT)'!$B$7:$J$22,W$9,0),4)</f>
        <v>0.97670000000000001</v>
      </c>
      <c r="X23" s="282">
        <f t="shared" si="2"/>
        <v>0.9352999999999998</v>
      </c>
      <c r="Y23" s="303"/>
      <c r="Z23" s="212"/>
    </row>
    <row r="24" spans="2:26" s="143" customFormat="1">
      <c r="B24" s="144">
        <v>13</v>
      </c>
      <c r="C24" s="145" t="str">
        <f t="shared" si="0"/>
        <v>e-regio</v>
      </c>
      <c r="D24" s="62" t="s">
        <v>248</v>
      </c>
      <c r="E24" s="165" t="s">
        <v>673</v>
      </c>
      <c r="F24" s="307" t="str">
        <f>VLOOKUP($E24,'BDEW-Standard'!$B$3:$M$94,F$9,0)</f>
        <v>PD4</v>
      </c>
      <c r="H24" s="278">
        <f>ROUND(VLOOKUP($E24,'BDEW-Standard'!$B$3:$M$94,H$9,0),7)</f>
        <v>3.85</v>
      </c>
      <c r="I24" s="278">
        <f>ROUND(VLOOKUP($E24,'BDEW-Standard'!$B$3:$M$94,I$9,0),7)</f>
        <v>-37</v>
      </c>
      <c r="J24" s="278">
        <f>ROUND(VLOOKUP($E24,'BDEW-Standard'!$B$3:$M$94,J$9,0),7)</f>
        <v>10.2405021</v>
      </c>
      <c r="K24" s="278">
        <f>ROUND(VLOOKUP($E24,'BDEW-Standard'!$B$3:$M$94,K$9,0),7)</f>
        <v>4.6924300000000002E-2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0.75691065279879233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e-regio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e-regio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e-regio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e-regio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e-regio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e-regio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e-regio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e-regio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e-regio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e-regio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e-regio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e-regio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e-regio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e-regio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e-regio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e-regio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e-regio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348</v>
      </c>
      <c r="B1" s="216">
        <v>42173</v>
      </c>
      <c r="D1" s="131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318</v>
      </c>
      <c r="D95" s="235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323</v>
      </c>
      <c r="D96" s="235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328</v>
      </c>
      <c r="D97" s="235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333</v>
      </c>
      <c r="D98" s="235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286</v>
      </c>
      <c r="D99" s="235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290</v>
      </c>
      <c r="D100" s="235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294</v>
      </c>
      <c r="D101" s="235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298</v>
      </c>
      <c r="D102" s="235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302</v>
      </c>
      <c r="D103" s="235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306</v>
      </c>
      <c r="D104" s="235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310</v>
      </c>
      <c r="D105" s="235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314</v>
      </c>
      <c r="D106" s="235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319</v>
      </c>
      <c r="D107" s="235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324</v>
      </c>
      <c r="D108" s="235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329</v>
      </c>
      <c r="D109" s="235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334</v>
      </c>
      <c r="D110" s="235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274</v>
      </c>
      <c r="D111" s="235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275</v>
      </c>
      <c r="D112" s="235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276</v>
      </c>
      <c r="D113" s="235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277</v>
      </c>
      <c r="D114" s="235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287</v>
      </c>
      <c r="D115" s="235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291</v>
      </c>
      <c r="D116" s="235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295</v>
      </c>
      <c r="D117" s="235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299</v>
      </c>
      <c r="D118" s="235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278</v>
      </c>
      <c r="D119" s="235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280</v>
      </c>
      <c r="D120" s="235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282</v>
      </c>
      <c r="D121" s="235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284</v>
      </c>
      <c r="D122" s="235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320</v>
      </c>
      <c r="D123" s="235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325</v>
      </c>
      <c r="D124" s="235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330</v>
      </c>
      <c r="D125" s="235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335</v>
      </c>
      <c r="D126" s="235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288</v>
      </c>
      <c r="D127" s="235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292</v>
      </c>
      <c r="D128" s="235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296</v>
      </c>
      <c r="D129" s="235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300</v>
      </c>
      <c r="D130" s="235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289</v>
      </c>
      <c r="D131" s="235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293</v>
      </c>
      <c r="D132" s="235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297</v>
      </c>
      <c r="D133" s="235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301</v>
      </c>
      <c r="D134" s="235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303</v>
      </c>
      <c r="D135" s="235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307</v>
      </c>
      <c r="D136" s="235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311</v>
      </c>
      <c r="D137" s="235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315</v>
      </c>
      <c r="D138" s="235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304</v>
      </c>
      <c r="D139" s="235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308</v>
      </c>
      <c r="D140" s="235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312</v>
      </c>
      <c r="D141" s="235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316</v>
      </c>
      <c r="D142" s="235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279</v>
      </c>
      <c r="D143" s="235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281</v>
      </c>
      <c r="D144" s="235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283</v>
      </c>
      <c r="D145" s="235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285</v>
      </c>
      <c r="D146" s="235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305</v>
      </c>
      <c r="D147" s="235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309</v>
      </c>
      <c r="D148" s="235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313</v>
      </c>
      <c r="D149" s="235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317</v>
      </c>
      <c r="D150" s="235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321</v>
      </c>
      <c r="D151" s="235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326</v>
      </c>
      <c r="D152" s="235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331</v>
      </c>
      <c r="D153" s="235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336</v>
      </c>
      <c r="D154" s="235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322</v>
      </c>
      <c r="D155" s="235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327</v>
      </c>
      <c r="D156" s="235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332</v>
      </c>
      <c r="D157" s="235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337</v>
      </c>
      <c r="D158" s="235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topLeftCell="A9" zoomScale="80" zoomScaleNormal="80" workbookViewId="0">
      <selection activeCell="T9" sqref="T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e-regio GmbH &amp; Co. KG</v>
      </c>
      <c r="D4" s="76"/>
      <c r="G4" s="76"/>
      <c r="I4" s="76"/>
      <c r="J4" s="77"/>
      <c r="M4" s="86" t="s">
        <v>546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Netzbetreiber!D28</f>
        <v>e-regio</v>
      </c>
      <c r="D5" s="37"/>
      <c r="E5" s="76"/>
      <c r="F5" s="76"/>
      <c r="G5" s="76"/>
      <c r="I5" s="76"/>
      <c r="J5" s="76"/>
      <c r="K5" s="76"/>
      <c r="L5" s="76"/>
      <c r="M5" s="88" t="s">
        <v>514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>
        <f>Netzbetreiber!$D$11</f>
        <v>987011300009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0" t="s">
        <v>590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399</v>
      </c>
      <c r="G10" s="348"/>
      <c r="H10" s="348"/>
      <c r="I10" s="348"/>
      <c r="J10" s="348"/>
      <c r="K10" s="348"/>
      <c r="L10" s="349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14">
        <f>MIN(SUMPRODUCT($M$11:$AD$11,M12:AD12),1)</f>
        <v>1</v>
      </c>
      <c r="F12" s="31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15">
        <f t="shared" ref="E13:E33" si="0">MIN(SUMPRODUCT($M$11:$AD$11,M13:AD13),1)</f>
        <v>0</v>
      </c>
      <c r="F13" s="31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15">
        <f t="shared" si="0"/>
        <v>0</v>
      </c>
      <c r="F14" s="31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15">
        <f t="shared" si="0"/>
        <v>0</v>
      </c>
      <c r="F15" s="31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15">
        <f t="shared" si="0"/>
        <v>1</v>
      </c>
      <c r="F16" s="31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15">
        <f t="shared" si="0"/>
        <v>1</v>
      </c>
      <c r="F17" s="31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15">
        <f t="shared" si="0"/>
        <v>1</v>
      </c>
      <c r="F18" s="31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15">
        <f t="shared" si="0"/>
        <v>1</v>
      </c>
      <c r="F19" s="31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656</v>
      </c>
      <c r="C20" s="117"/>
      <c r="D20" s="111">
        <v>12</v>
      </c>
      <c r="E20" s="315">
        <f t="shared" si="0"/>
        <v>1</v>
      </c>
      <c r="F20" s="31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15">
        <f t="shared" si="0"/>
        <v>1</v>
      </c>
      <c r="F21" s="31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15">
        <f t="shared" si="0"/>
        <v>1</v>
      </c>
      <c r="F22" s="31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15">
        <f t="shared" si="0"/>
        <v>1</v>
      </c>
      <c r="F23" s="31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15">
        <f t="shared" si="0"/>
        <v>0</v>
      </c>
      <c r="F24" s="31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15">
        <f t="shared" si="0"/>
        <v>0</v>
      </c>
      <c r="F25" s="31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15">
        <f t="shared" si="0"/>
        <v>1</v>
      </c>
      <c r="F26" s="31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15">
        <f t="shared" si="0"/>
        <v>0</v>
      </c>
      <c r="F27" s="31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15">
        <f t="shared" si="0"/>
        <v>1</v>
      </c>
      <c r="F28" s="31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15">
        <f t="shared" si="0"/>
        <v>0</v>
      </c>
      <c r="F29" s="31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15">
        <f t="shared" si="0"/>
        <v>0</v>
      </c>
      <c r="F30" s="31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15">
        <f t="shared" si="0"/>
        <v>1</v>
      </c>
      <c r="F31" s="31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15">
        <f t="shared" si="0"/>
        <v>1</v>
      </c>
      <c r="F32" s="31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16">
        <f t="shared" si="0"/>
        <v>0</v>
      </c>
      <c r="F33" s="31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459</v>
      </c>
      <c r="B1" s="128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2" t="s">
        <v>249</v>
      </c>
      <c r="B3" s="238" t="s">
        <v>86</v>
      </c>
      <c r="C3" s="239"/>
      <c r="D3" s="354" t="s">
        <v>461</v>
      </c>
      <c r="E3" s="355"/>
      <c r="F3" s="355"/>
      <c r="G3" s="355"/>
      <c r="H3" s="355"/>
      <c r="I3" s="355"/>
      <c r="J3" s="356"/>
      <c r="K3" s="240"/>
      <c r="L3" s="240"/>
      <c r="M3" s="240"/>
      <c r="N3" s="240"/>
      <c r="O3" s="241"/>
      <c r="P3" s="240"/>
    </row>
    <row r="4" spans="1:16" ht="20.100000000000001" customHeight="1">
      <c r="A4" s="353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Kall-Sistig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Friedl, Julia</cp:lastModifiedBy>
  <cp:lastPrinted>2015-03-20T22:59:10Z</cp:lastPrinted>
  <dcterms:created xsi:type="dcterms:W3CDTF">2015-01-15T05:25:41Z</dcterms:created>
  <dcterms:modified xsi:type="dcterms:W3CDTF">2016-07-04T09:30:57Z</dcterms:modified>
</cp:coreProperties>
</file>